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00" windowWidth="15500" windowHeight="10380" tabRatio="831" activeTab="0"/>
  </bookViews>
  <sheets>
    <sheet name="дод.11 " sheetId="1" r:id="rId1"/>
  </sheets>
  <definedNames>
    <definedName name="_xlfn.AGGREGATE" hidden="1">#NAME?</definedName>
    <definedName name="_xlnm.Print_Titles" localSheetId="0">'дод.11 '!$5:$6</definedName>
  </definedNames>
  <calcPr fullCalcOnLoad="1"/>
</workbook>
</file>

<file path=xl/sharedStrings.xml><?xml version="1.0" encoding="utf-8"?>
<sst xmlns="http://schemas.openxmlformats.org/spreadsheetml/2006/main" count="197" uniqueCount="192">
  <si>
    <t>Інша діяльність у сфері житлово-комунального господарства</t>
  </si>
  <si>
    <t>Організація місць відпочинку на комунальних пляжах міста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</si>
  <si>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</si>
  <si>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</si>
  <si>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</si>
  <si>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>Обслуговування водяних завіс</t>
  </si>
  <si>
    <t xml:space="preserve"> обслуговування водяних завіс</t>
  </si>
  <si>
    <t xml:space="preserve">оплата електроенергїї світлофорних об'єктів </t>
  </si>
  <si>
    <t>комплексне косіння зелених зон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</si>
  <si>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</si>
  <si>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</si>
  <si>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</si>
  <si>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</si>
  <si>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</si>
  <si>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Утримання питних фонтанчиків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</si>
  <si>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</si>
  <si>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</si>
  <si>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</si>
  <si>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</si>
  <si>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</si>
  <si>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</si>
  <si>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</si>
  <si>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</si>
  <si>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</si>
  <si>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</si>
  <si>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</si>
  <si>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</si>
  <si>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</si>
  <si>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</si>
  <si>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</si>
  <si>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</si>
  <si>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</si>
  <si>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</si>
  <si>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</si>
  <si>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№ п/п</t>
  </si>
  <si>
    <t>НАПРЯМКИ ВИДАТКІВ</t>
  </si>
  <si>
    <t>Утримання та розвиток парків та скверів міста, в т.ч.:</t>
  </si>
  <si>
    <t>Організація благоустрою населених пунктів</t>
  </si>
  <si>
    <t>Дослідження питної води з нецентралізованих джерел водопостачання</t>
  </si>
  <si>
    <t>2.</t>
  </si>
  <si>
    <t>3.</t>
  </si>
  <si>
    <t>1.</t>
  </si>
  <si>
    <t>ВИДАТКИ НА ЖИТЛОВО-КОМУНАЛЬНЕ ГОСПОДАРСТВО ЗА РАХУНОК КОШТІВ МІСЬКОГО БЮДЖЕТУ У 2019 РОЦІ</t>
  </si>
  <si>
    <t>знесення дерев на кладовищах</t>
  </si>
  <si>
    <t>послуги зі стерилізації безпритульних тварин (фінансова підтримка КП "Черкаська служба чистоти")</t>
  </si>
  <si>
    <t>ліквідація стихійних сміттєзвалищ на території міста</t>
  </si>
  <si>
    <t>придбання та встановлення лавок з урнами</t>
  </si>
  <si>
    <t>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</si>
  <si>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 xml:space="preserve">Заходи, пов’язані  з поліпшенням питної води </t>
  </si>
  <si>
    <t>на утримання зелених насаджень та зелених зон, прибирання доріжок та алей (фінансова підтримка КП "Дирекція парків")</t>
  </si>
  <si>
    <t xml:space="preserve">утримання газонів на бульварі Шевченка </t>
  </si>
  <si>
    <t>Спеціальний фонд</t>
  </si>
  <si>
    <t>бюджет розвитку</t>
  </si>
  <si>
    <t>із них</t>
  </si>
  <si>
    <t>2.1</t>
  </si>
  <si>
    <t>Організація роботи інженерного облаштування вулично-дорожньої мережі, в т.ч.:</t>
  </si>
  <si>
    <t xml:space="preserve"> утримання  міських кладовищ (фінансова підтримка КП "Комбінат комунальних підприємств")</t>
  </si>
  <si>
    <t xml:space="preserve">Експлуатаційне та технічне обслуговування житлового фонду </t>
  </si>
  <si>
    <t>Надання співфінансування ОСББ на виконання капітальних ремонтів:
'  - енергозберігаючі заходи ;
'- інші види робіт (покрівлі, інженерні мережі і т.п.)</t>
  </si>
  <si>
    <t>облаштування клумб, декоративних композицій та газонів</t>
  </si>
  <si>
    <t>прибирання випадкового сміття вздовж магістралей та вулиць міста</t>
  </si>
  <si>
    <t>на утримання та оновлення майна парків та скверів  (фінансова підтримка КП "Дирекція парків")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</si>
  <si>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</si>
  <si>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</si>
  <si>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</si>
  <si>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</si>
  <si>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</si>
  <si>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</si>
  <si>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</si>
  <si>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</si>
  <si>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</si>
  <si>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</si>
  <si>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</si>
  <si>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4.</t>
  </si>
  <si>
    <t>Забезпечення діяльності з виробництва, транспортування, постачання теплової енергії</t>
  </si>
  <si>
    <t>Фінансова підтримка КПТМ "Черкаситеплокомуненерго" для забезпечення розрахунків за кредитними зобов'язаннями, гарантом яких виступає Черкаська міська рада</t>
  </si>
  <si>
    <t>поховання та транспортування до моргу на судмедекспертизу  одиноких померлих та безрідних громадян (фінансова підтримка КП "Комбінат комунальних підприємств")</t>
  </si>
  <si>
    <t>поточний ремонт мереж зовнішнього освітлення міста  (фінансова підтримка КП "Міськсвітло")</t>
  </si>
  <si>
    <t>послуги пульта управління зовнішнім освітленням міста (фінансова підтримка КП "Міськсвітло")</t>
  </si>
  <si>
    <t>поточний ремонт майданчику для настільного тенісу в Дитячому парку (реалізація проектів-переможців визначених згідно Програми "Громадський бюджет  міста Черкаси на 2015-2019 роки) (фінансова підтримка КП "Дирекція парків")</t>
  </si>
  <si>
    <t>Загальний фонд</t>
  </si>
  <si>
    <t>Експлуатаційне та технічне обслуговування житлового фонду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</si>
  <si>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</si>
  <si>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</si>
  <si>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</si>
  <si>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</si>
  <si>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</si>
  <si>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</si>
  <si>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</si>
  <si>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</si>
  <si>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</si>
  <si>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</si>
  <si>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</si>
  <si>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</si>
  <si>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</si>
  <si>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</si>
  <si>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</si>
  <si>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</si>
  <si>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</si>
  <si>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</si>
  <si>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</si>
  <si>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</si>
  <si>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</si>
  <si>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</si>
  <si>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4.1</t>
  </si>
  <si>
    <t>5.</t>
  </si>
  <si>
    <t>Капітальний ремонт житлового будинку по вул. Благовісна, 180 (покрівля)</t>
  </si>
  <si>
    <t>Капітальний ремонт житлового будинку №43 по вул. Різдвяна (покрівля)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</si>
  <si>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</si>
  <si>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</si>
  <si>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</si>
  <si>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</si>
  <si>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</si>
  <si>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</si>
  <si>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Капітальний ремонт прибудинкової території (дитячий майданчик) за адресою: вул. Ярославська, 24</t>
  </si>
  <si>
    <t>Капітальний ремонт прибудинкової території (дитячий майданчик) за адресою: вул. Ярославська, 32</t>
  </si>
  <si>
    <t>Капітальний ремонт житлового будинку по вул. Пилипенка, 12 (встановлення ІТП)</t>
  </si>
  <si>
    <t>5.1</t>
  </si>
  <si>
    <t>нагляд за станом електромереж та устаткування (фінансова підтримка КП "Міськсвітло")</t>
  </si>
  <si>
    <t>Забезпечення надійної та безперебійної експлуатації ліфтів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</si>
  <si>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</si>
  <si>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</si>
  <si>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</si>
  <si>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</si>
  <si>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</si>
  <si>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</si>
  <si>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</si>
  <si>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</si>
  <si>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</si>
  <si>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</si>
  <si>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</si>
  <si>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6.1</t>
  </si>
  <si>
    <t>1.35</t>
  </si>
  <si>
    <t>1.36</t>
  </si>
  <si>
    <t>1.37</t>
  </si>
  <si>
    <t>1.38</t>
  </si>
  <si>
    <t>Капітальний ремонт прибудинкової території  будинку 122/41 по вул. В. Чорновола</t>
  </si>
  <si>
    <t>7.</t>
  </si>
  <si>
    <t>Забезпечення діяльності водопровідно-каналізаційного господарства</t>
  </si>
  <si>
    <t>7.1</t>
  </si>
  <si>
    <t>Капітальний ремонт прибудинкової території будинку №96/1 по вул. М. Залізняка</t>
  </si>
  <si>
    <t xml:space="preserve">Надання співфінансування ОСББ  на виконання капітальних ремонтів:
'-енергозберігаючі заходи;
'-інші види робіт (покрівлі, інженерні мережі і т.п.) </t>
  </si>
  <si>
    <t>Співфінансування капітального ремонту та реконструкції багатоквартирних житлових будинків та їх прибудинкових територій (крім ОСББ та ЖБК)</t>
  </si>
  <si>
    <t>Капітальний ремонт житлового будинку №50 по вул. Толстого (покрівля)</t>
  </si>
  <si>
    <t>Капітальний ремонт житлового будинку №103 по вул. Нижня Горова (покрівля)</t>
  </si>
  <si>
    <t xml:space="preserve">Капітальний ремонт житлового будинку №105 по вул. Нижня Горова (покрівля) </t>
  </si>
  <si>
    <t xml:space="preserve">Капітальний ремонт житлового будинку №115 по вул. Нижня Горова (покрівля) </t>
  </si>
  <si>
    <t xml:space="preserve">Капітальний ремонт житлового будинку №69 по вул. Героїв Дніпра (заміна вікон та дверей) </t>
  </si>
  <si>
    <t xml:space="preserve">Капітальний ремонт житлового будинку №2 по вул. Сержанта Смірнова  (заміна вікон та дверей) </t>
  </si>
  <si>
    <t xml:space="preserve">Капітальний ремонт житлового будинку №164 по вул. Нижня Горова (заміна вікон)  </t>
  </si>
  <si>
    <t xml:space="preserve">Капітальний ремонт житлового будинку №168 по вул. Нижня Горова (заміна вікон)  </t>
  </si>
  <si>
    <t xml:space="preserve">Капітальний ремонт житлового будинку №57 по вул. Різдвяна (заміна вікон)  </t>
  </si>
  <si>
    <t xml:space="preserve">Капітальний ремонт житлового будинку №57/1 по вул. Різдвяна (заміна вікон)  </t>
  </si>
  <si>
    <t xml:space="preserve">Капітальний ремонт житлового будинку №50 по вул. Толстого (заміна вікон)  </t>
  </si>
  <si>
    <t xml:space="preserve">Капітальний ремонт житлового будинку №78 по вул. Толстого (заміна вікон)  </t>
  </si>
  <si>
    <t xml:space="preserve">Капітальний ремонт житлового будинку №9а по вул. Чехова (інженерні мережі) </t>
  </si>
  <si>
    <t xml:space="preserve">Капітальний ремонт житлового будинку №57/1 по вул. Різдвяна (інженерні мережі) </t>
  </si>
  <si>
    <t xml:space="preserve">Капітальний ремонт житлового будинку №57 по вул. Різдвяна (інженерні мережі) </t>
  </si>
  <si>
    <t xml:space="preserve">Капітальний ремонт житлового будинку №43 по вул. Різдвяна (інженерні мережі) </t>
  </si>
  <si>
    <t xml:space="preserve">Капітальний ремонт житлового будинку №115 по вул. Нижня Горова (інженерні мережі) </t>
  </si>
  <si>
    <t xml:space="preserve">Капітальний ремонт прибудинкової території будинку № 96 по вул. М. Залізняка </t>
  </si>
  <si>
    <t xml:space="preserve">Капітальний ремонт прибудинкової території житлових будинків по вул. Митницькій, 17, 17/1 та по вул. Гоголя, 315 </t>
  </si>
  <si>
    <t xml:space="preserve">Капітальний ремонт прибудинкової території житлових будинків по бул. Шевченка, 264 та по вул. Небесної Сотні, 41 </t>
  </si>
  <si>
    <t xml:space="preserve">Капітальний ремонт прибудинкової території  житлових будинків по вул. Пилипенка 10, 12 та вул. Пастерівська, 106 </t>
  </si>
  <si>
    <t>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</si>
  <si>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Придбання нових вольєрів для утримання безпритульних тварин</t>
  </si>
  <si>
    <t xml:space="preserve">видалення аварійних та сухостійних дерев </t>
  </si>
  <si>
    <t>% виконання</t>
  </si>
  <si>
    <t>Разом видатків на поточний рік</t>
  </si>
  <si>
    <t>(грн.)</t>
  </si>
  <si>
    <t xml:space="preserve">Департамент житлово-комунального комплексу </t>
  </si>
  <si>
    <t xml:space="preserve">Департамент архітектури та містобудування </t>
  </si>
  <si>
    <t>Благоустрій прилеглої території біля будинку по вул.С.Амброса,147 м.Черкаси</t>
  </si>
  <si>
    <t>капітальний ремонт скверу "Весна"</t>
  </si>
  <si>
    <t>виготовлення проекту землеустрою щодо відведення земельної ділянки для будівництва кладовища</t>
  </si>
  <si>
    <t>5.2</t>
  </si>
  <si>
    <t>Фінансова підтримка КП "СУБ "Митниця" на погашення кредиторської заборгованості</t>
  </si>
  <si>
    <t xml:space="preserve">ВСЬОГО видатків по департаменту </t>
  </si>
  <si>
    <t>РАЗОМ ВИДАТКІВ</t>
  </si>
  <si>
    <t>Капітальний ремонт ганків до під'їздів  №1-8 житлового будинку по вул. Гуджіївській, 30</t>
  </si>
  <si>
    <t>Капітальний ремонт житлового будинку №3 по вул. Максима Залізняка (покрівля)</t>
  </si>
  <si>
    <t>Фінансова підтримка КП "Черкасиводоканал" на відшкодування поточних витрат, які виникають в процесі господарської діяльності та входять до собівартості реалізованих підприємством послуг, з урахуванням нарахованих зобов'язань по сплаті основної суми субкредиту</t>
  </si>
  <si>
    <t xml:space="preserve">   </t>
  </si>
  <si>
    <t>забезпечення екологічного безпечного збирання, перевезення, зберігання  та утилізації відходів (фінансова підтримка КП "Черкаська служба чистоти")</t>
  </si>
  <si>
    <t>6.0</t>
  </si>
  <si>
    <t>6.2</t>
  </si>
  <si>
    <t>8.</t>
  </si>
  <si>
    <t>8.1</t>
  </si>
  <si>
    <t>Відшкодування різниці між розміром ціни (тарифу) на житлово-
комунальні послуги, що затверджувалися або погоджувалися
рішенням місцевого органу виконавчої влади та органу місцевого
самоврядування, та розміром економічно обґрунтованих витрат на
їх виробництво (надання)</t>
  </si>
  <si>
    <t xml:space="preserve">Відшкодування КП "Соснівська СУБ" різниці в тарифі між фактичними витратами на електроенергію та тарифами на утримання будинків, прибудинкових територій та споруд, затвердженими виконавчим комітетом ЧМР (в частині витрат на електроенергію) </t>
  </si>
  <si>
    <t xml:space="preserve">Відшкодування КП "Придніпровська СУБ" різниці в тарифі між фактичними витратами на електроенергію та тарифами на утримання будинків, прибудинкових територій та споруд, затвердженими виконавчим комітетом ЧМР (в частині витрат на електроенергію) </t>
  </si>
  <si>
    <t>Профінансовано станом на 26.07.2019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</si>
</sst>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#,##0.00\ _₽"/>
  </numFmts>
  <fonts count="6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Arial"/>
      <family val="2"/>
    </font>
    <font>
      <b/>
      <i/>
      <sz val="12"/>
      <color indexed="8"/>
      <name val="Times New Roman"/>
      <family val="1"/>
    </font>
    <font>
      <sz val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1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38" fillId="0" borderId="0">
      <alignment vertical="top"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56" fillId="47" borderId="8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5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6" fillId="3" borderId="0" applyNumberFormat="0" applyBorder="0" applyAlignment="0" applyProtection="0"/>
    <xf numFmtId="0" fontId="58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9" fillId="47" borderId="12" applyNumberFormat="0" applyAlignment="0" applyProtection="0"/>
    <xf numFmtId="0" fontId="18" fillId="0" borderId="13" applyNumberFormat="0" applyFill="0" applyAlignment="0" applyProtection="0"/>
    <xf numFmtId="0" fontId="60" fillId="51" borderId="0" applyNumberFormat="0" applyBorder="0" applyAlignment="0" applyProtection="0"/>
    <xf numFmtId="0" fontId="20" fillId="0" borderId="0">
      <alignment/>
      <protection/>
    </xf>
    <xf numFmtId="0" fontId="6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2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28" fillId="0" borderId="14" xfId="0" applyFont="1" applyFill="1" applyBorder="1" applyAlignment="1">
      <alignment horizontal="center" vertical="center" wrapText="1" readingOrder="1"/>
    </xf>
    <xf numFmtId="0" fontId="31" fillId="0" borderId="15" xfId="0" applyNumberFormat="1" applyFont="1" applyFill="1" applyBorder="1" applyAlignment="1">
      <alignment horizontal="center" vertical="center"/>
    </xf>
    <xf numFmtId="49" fontId="31" fillId="0" borderId="1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4" fontId="28" fillId="0" borderId="14" xfId="0" applyNumberFormat="1" applyFont="1" applyFill="1" applyBorder="1" applyAlignment="1">
      <alignment horizontal="center" vertical="center" wrapText="1" readingOrder="1"/>
    </xf>
    <xf numFmtId="4" fontId="36" fillId="0" borderId="14" xfId="0" applyNumberFormat="1" applyFont="1" applyFill="1" applyBorder="1" applyAlignment="1">
      <alignment horizontal="center" vertical="center" wrapText="1" readingOrder="1"/>
    </xf>
    <xf numFmtId="4" fontId="32" fillId="0" borderId="0" xfId="0" applyNumberFormat="1" applyFont="1" applyFill="1" applyAlignment="1">
      <alignment/>
    </xf>
    <xf numFmtId="0" fontId="32" fillId="0" borderId="0" xfId="0" applyFont="1" applyFill="1" applyBorder="1" applyAlignment="1">
      <alignment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0" fontId="28" fillId="52" borderId="17" xfId="0" applyFont="1" applyFill="1" applyBorder="1" applyAlignment="1">
      <alignment horizontal="left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0" fontId="35" fillId="53" borderId="17" xfId="0" applyFont="1" applyFill="1" applyBorder="1" applyAlignment="1">
      <alignment horizontal="left" vertical="center" wrapText="1" readingOrder="1"/>
    </xf>
    <xf numFmtId="4" fontId="35" fillId="53" borderId="14" xfId="0" applyNumberFormat="1" applyFont="1" applyFill="1" applyBorder="1" applyAlignment="1">
      <alignment horizontal="center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9" fontId="30" fillId="0" borderId="15" xfId="0" applyNumberFormat="1" applyFont="1" applyFill="1" applyBorder="1" applyAlignment="1">
      <alignment horizontal="center" vertical="center"/>
    </xf>
    <xf numFmtId="0" fontId="35" fillId="53" borderId="15" xfId="0" applyNumberFormat="1" applyFont="1" applyFill="1" applyBorder="1" applyAlignment="1">
      <alignment horizontal="center" vertical="center"/>
    </xf>
    <xf numFmtId="0" fontId="28" fillId="52" borderId="17" xfId="0" applyFont="1" applyFill="1" applyBorder="1" applyAlignment="1">
      <alignment horizontal="left" vertical="center" wrapText="1" readingOrder="1"/>
    </xf>
    <xf numFmtId="0" fontId="0" fillId="52" borderId="0" xfId="0" applyFill="1" applyAlignment="1">
      <alignment/>
    </xf>
    <xf numFmtId="4" fontId="0" fillId="52" borderId="0" xfId="0" applyNumberFormat="1" applyFill="1" applyAlignment="1">
      <alignment/>
    </xf>
    <xf numFmtId="0" fontId="4" fillId="52" borderId="0" xfId="0" applyFont="1" applyFill="1" applyAlignment="1">
      <alignment/>
    </xf>
    <xf numFmtId="0" fontId="0" fillId="52" borderId="0" xfId="0" applyFill="1" applyBorder="1" applyAlignment="1">
      <alignment/>
    </xf>
    <xf numFmtId="0" fontId="34" fillId="52" borderId="0" xfId="0" applyFont="1" applyFill="1" applyAlignment="1">
      <alignment/>
    </xf>
    <xf numFmtId="0" fontId="19" fillId="52" borderId="0" xfId="0" applyFont="1" applyFill="1" applyAlignment="1">
      <alignment horizontal="right"/>
    </xf>
    <xf numFmtId="0" fontId="0" fillId="52" borderId="0" xfId="0" applyFont="1" applyFill="1" applyAlignment="1">
      <alignment/>
    </xf>
    <xf numFmtId="0" fontId="0" fillId="0" borderId="15" xfId="0" applyFill="1" applyBorder="1" applyAlignment="1">
      <alignment/>
    </xf>
    <xf numFmtId="4" fontId="28" fillId="0" borderId="18" xfId="0" applyNumberFormat="1" applyFont="1" applyFill="1" applyBorder="1" applyAlignment="1">
      <alignment horizontal="center" vertical="center" wrapText="1" readingOrder="1"/>
    </xf>
    <xf numFmtId="4" fontId="28" fillId="52" borderId="19" xfId="0" applyNumberFormat="1" applyFont="1" applyFill="1" applyBorder="1" applyAlignment="1">
      <alignment horizontal="center" vertical="center" wrapText="1" readingOrder="1"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4" fillId="0" borderId="15" xfId="0" applyNumberFormat="1" applyFont="1" applyFill="1" applyBorder="1" applyAlignment="1">
      <alignment horizontal="center"/>
    </xf>
    <xf numFmtId="208" fontId="34" fillId="0" borderId="15" xfId="0" applyNumberFormat="1" applyFont="1" applyFill="1" applyBorder="1" applyAlignment="1">
      <alignment horizontal="center" vertical="center"/>
    </xf>
    <xf numFmtId="4" fontId="34" fillId="0" borderId="15" xfId="0" applyNumberFormat="1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 wrapText="1" readingOrder="1"/>
    </xf>
    <xf numFmtId="4" fontId="36" fillId="0" borderId="18" xfId="0" applyNumberFormat="1" applyFont="1" applyFill="1" applyBorder="1" applyAlignment="1">
      <alignment horizontal="center" vertical="center" wrapText="1" readingOrder="1"/>
    </xf>
    <xf numFmtId="4" fontId="36" fillId="0" borderId="21" xfId="0" applyNumberFormat="1" applyFont="1" applyFill="1" applyBorder="1" applyAlignment="1">
      <alignment horizontal="center" vertical="center" wrapText="1" readingOrder="1"/>
    </xf>
    <xf numFmtId="4" fontId="36" fillId="0" borderId="15" xfId="0" applyNumberFormat="1" applyFont="1" applyFill="1" applyBorder="1" applyAlignment="1">
      <alignment horizontal="center" vertical="center" wrapText="1" readingOrder="1"/>
    </xf>
    <xf numFmtId="4" fontId="4" fillId="0" borderId="15" xfId="0" applyNumberFormat="1" applyFont="1" applyFill="1" applyBorder="1" applyAlignment="1">
      <alignment horizontal="center" vertical="center"/>
    </xf>
    <xf numFmtId="0" fontId="4" fillId="53" borderId="22" xfId="0" applyFont="1" applyFill="1" applyBorder="1" applyAlignment="1">
      <alignment horizontal="center" vertical="center"/>
    </xf>
    <xf numFmtId="0" fontId="19" fillId="53" borderId="23" xfId="0" applyFont="1" applyFill="1" applyBorder="1" applyAlignment="1">
      <alignment horizontal="left" vertical="center" wrapText="1" readingOrder="1"/>
    </xf>
    <xf numFmtId="0" fontId="28" fillId="53" borderId="14" xfId="0" applyFont="1" applyFill="1" applyBorder="1" applyAlignment="1">
      <alignment horizontal="center" vertical="center" wrapText="1" readingOrder="1"/>
    </xf>
    <xf numFmtId="0" fontId="28" fillId="53" borderId="20" xfId="0" applyFont="1" applyFill="1" applyBorder="1" applyAlignment="1">
      <alignment horizontal="center" vertical="center" wrapText="1" readingOrder="1"/>
    </xf>
    <xf numFmtId="208" fontId="0" fillId="53" borderId="15" xfId="0" applyNumberFormat="1" applyFill="1" applyBorder="1" applyAlignment="1">
      <alignment horizontal="center" vertical="center" readingOrder="1"/>
    </xf>
    <xf numFmtId="208" fontId="19" fillId="53" borderId="15" xfId="0" applyNumberFormat="1" applyFont="1" applyFill="1" applyBorder="1" applyAlignment="1">
      <alignment horizontal="center" vertical="center" wrapText="1" readingOrder="1"/>
    </xf>
    <xf numFmtId="4" fontId="35" fillId="53" borderId="18" xfId="0" applyNumberFormat="1" applyFont="1" applyFill="1" applyBorder="1" applyAlignment="1">
      <alignment horizontal="center" vertical="center" wrapText="1" readingOrder="1"/>
    </xf>
    <xf numFmtId="4" fontId="36" fillId="53" borderId="15" xfId="0" applyNumberFormat="1" applyFont="1" applyFill="1" applyBorder="1" applyAlignment="1">
      <alignment horizontal="center" vertical="center" wrapText="1" readingOrder="1"/>
    </xf>
    <xf numFmtId="4" fontId="29" fillId="52" borderId="15" xfId="0" applyNumberFormat="1" applyFont="1" applyFill="1" applyBorder="1" applyAlignment="1">
      <alignment horizontal="center" vertical="center" wrapText="1" readingOrder="1"/>
    </xf>
    <xf numFmtId="4" fontId="29" fillId="52" borderId="14" xfId="0" applyNumberFormat="1" applyFont="1" applyFill="1" applyBorder="1" applyAlignment="1">
      <alignment horizontal="center" vertical="center" wrapText="1" readingOrder="1"/>
    </xf>
    <xf numFmtId="4" fontId="35" fillId="53" borderId="24" xfId="0" applyNumberFormat="1" applyFont="1" applyFill="1" applyBorder="1" applyAlignment="1">
      <alignment horizontal="center" vertical="center" wrapText="1" readingOrder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/>
    </xf>
    <xf numFmtId="208" fontId="28" fillId="0" borderId="25" xfId="0" applyNumberFormat="1" applyFont="1" applyFill="1" applyBorder="1" applyAlignment="1">
      <alignment horizontal="center" vertical="center" wrapText="1" readingOrder="1"/>
    </xf>
    <xf numFmtId="0" fontId="28" fillId="52" borderId="14" xfId="0" applyFont="1" applyFill="1" applyBorder="1" applyAlignment="1">
      <alignment horizontal="center" vertical="center" wrapText="1" readingOrder="1"/>
    </xf>
    <xf numFmtId="208" fontId="4" fillId="52" borderId="15" xfId="0" applyNumberFormat="1" applyFont="1" applyFill="1" applyBorder="1" applyAlignment="1">
      <alignment horizontal="center" vertical="center" wrapText="1" readingOrder="1"/>
    </xf>
    <xf numFmtId="208" fontId="28" fillId="52" borderId="26" xfId="0" applyNumberFormat="1" applyFont="1" applyFill="1" applyBorder="1" applyAlignment="1">
      <alignment horizontal="center" vertical="center" wrapText="1" readingOrder="1"/>
    </xf>
    <xf numFmtId="0" fontId="4" fillId="52" borderId="15" xfId="0" applyFont="1" applyFill="1" applyBorder="1" applyAlignment="1">
      <alignment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5" fillId="53" borderId="19" xfId="0" applyNumberFormat="1" applyFont="1" applyFill="1" applyBorder="1" applyAlignment="1">
      <alignment horizontal="center" vertical="center" wrapText="1" readingOrder="1"/>
    </xf>
    <xf numFmtId="4" fontId="28" fillId="52" borderId="15" xfId="0" applyNumberFormat="1" applyFont="1" applyFill="1" applyBorder="1" applyAlignment="1">
      <alignment horizontal="center" vertical="center" wrapText="1" readingOrder="1"/>
    </xf>
    <xf numFmtId="4" fontId="36" fillId="52" borderId="15" xfId="0" applyNumberFormat="1" applyFont="1" applyFill="1" applyBorder="1" applyAlignment="1">
      <alignment horizontal="center" vertical="center" wrapText="1" readingOrder="1"/>
    </xf>
    <xf numFmtId="49" fontId="29" fillId="52" borderId="15" xfId="0" applyNumberFormat="1" applyFont="1" applyFill="1" applyBorder="1" applyAlignment="1">
      <alignment horizontal="center" vertical="center"/>
    </xf>
    <xf numFmtId="208" fontId="28" fillId="0" borderId="19" xfId="0" applyNumberFormat="1" applyFont="1" applyFill="1" applyBorder="1" applyAlignment="1">
      <alignment horizontal="center" vertical="center" wrapText="1" readingOrder="1"/>
    </xf>
    <xf numFmtId="208" fontId="28" fillId="0" borderId="15" xfId="0" applyNumberFormat="1" applyFont="1" applyFill="1" applyBorder="1" applyAlignment="1">
      <alignment horizontal="center" vertical="center" wrapText="1" readingOrder="1"/>
    </xf>
    <xf numFmtId="4" fontId="29" fillId="0" borderId="15" xfId="120" applyNumberFormat="1" applyFont="1" applyFill="1" applyBorder="1" applyAlignment="1">
      <alignment horizontal="center" vertical="center"/>
    </xf>
    <xf numFmtId="4" fontId="35" fillId="52" borderId="14" xfId="0" applyNumberFormat="1" applyFont="1" applyFill="1" applyBorder="1" applyAlignment="1">
      <alignment horizontal="center" vertical="center" wrapText="1" readingOrder="1"/>
    </xf>
    <xf numFmtId="4" fontId="36" fillId="52" borderId="18" xfId="0" applyNumberFormat="1" applyFont="1" applyFill="1" applyBorder="1" applyAlignment="1">
      <alignment horizontal="center" vertical="center" wrapText="1" readingOrder="1"/>
    </xf>
    <xf numFmtId="4" fontId="36" fillId="52" borderId="0" xfId="0" applyNumberFormat="1" applyFont="1" applyFill="1" applyBorder="1" applyAlignment="1">
      <alignment horizontal="center" vertical="center" wrapText="1" readingOrder="1"/>
    </xf>
    <xf numFmtId="4" fontId="28" fillId="52" borderId="0" xfId="0" applyNumberFormat="1" applyFont="1" applyFill="1" applyBorder="1" applyAlignment="1">
      <alignment horizontal="center" vertical="center" wrapText="1" readingOrder="1"/>
    </xf>
    <xf numFmtId="4" fontId="28" fillId="52" borderId="0" xfId="0" applyNumberFormat="1" applyFont="1" applyFill="1" applyBorder="1" applyAlignment="1">
      <alignment horizontal="center" vertical="center" wrapText="1" readingOrder="1"/>
    </xf>
    <xf numFmtId="4" fontId="35" fillId="52" borderId="0" xfId="0" applyNumberFormat="1" applyFont="1" applyFill="1" applyBorder="1" applyAlignment="1">
      <alignment horizontal="center" vertical="center" wrapText="1" readingOrder="1"/>
    </xf>
    <xf numFmtId="4" fontId="29" fillId="52" borderId="0" xfId="0" applyNumberFormat="1" applyFont="1" applyFill="1" applyBorder="1" applyAlignment="1">
      <alignment horizontal="center" vertical="center" wrapText="1" readingOrder="1"/>
    </xf>
    <xf numFmtId="4" fontId="37" fillId="53" borderId="14" xfId="0" applyNumberFormat="1" applyFont="1" applyFill="1" applyBorder="1" applyAlignment="1">
      <alignment horizontal="center" vertical="center" wrapText="1" readingOrder="1"/>
    </xf>
    <xf numFmtId="49" fontId="35" fillId="53" borderId="15" xfId="0" applyNumberFormat="1" applyFont="1" applyFill="1" applyBorder="1" applyAlignment="1">
      <alignment horizontal="center" vertical="center"/>
    </xf>
    <xf numFmtId="208" fontId="35" fillId="53" borderId="26" xfId="0" applyNumberFormat="1" applyFont="1" applyFill="1" applyBorder="1" applyAlignment="1">
      <alignment horizontal="center" vertical="center" wrapText="1" readingOrder="1"/>
    </xf>
    <xf numFmtId="208" fontId="19" fillId="53" borderId="15" xfId="0" applyNumberFormat="1" applyFont="1" applyFill="1" applyBorder="1" applyAlignment="1">
      <alignment horizontal="center" vertical="center"/>
    </xf>
    <xf numFmtId="0" fontId="0" fillId="53" borderId="15" xfId="0" applyFill="1" applyBorder="1" applyAlignment="1">
      <alignment/>
    </xf>
    <xf numFmtId="4" fontId="35" fillId="53" borderId="15" xfId="0" applyNumberFormat="1" applyFont="1" applyFill="1" applyBorder="1" applyAlignment="1">
      <alignment horizontal="center" vertical="center" wrapText="1" readingOrder="1"/>
    </xf>
    <xf numFmtId="4" fontId="35" fillId="53" borderId="15" xfId="0" applyNumberFormat="1" applyFont="1" applyFill="1" applyBorder="1" applyAlignment="1">
      <alignment horizontal="center" vertical="center" wrapText="1" readingOrder="1"/>
    </xf>
    <xf numFmtId="49" fontId="29" fillId="0" borderId="15" xfId="0" applyNumberFormat="1" applyFont="1" applyFill="1" applyBorder="1" applyAlignment="1">
      <alignment horizontal="center" vertical="center"/>
    </xf>
    <xf numFmtId="0" fontId="29" fillId="52" borderId="17" xfId="0" applyFont="1" applyFill="1" applyBorder="1" applyAlignment="1">
      <alignment horizontal="left" vertical="center" wrapText="1" readingOrder="1"/>
    </xf>
    <xf numFmtId="208" fontId="0" fillId="52" borderId="15" xfId="0" applyNumberFormat="1" applyFont="1" applyFill="1" applyBorder="1" applyAlignment="1">
      <alignment horizontal="center" vertical="center"/>
    </xf>
    <xf numFmtId="0" fontId="35" fillId="53" borderId="22" xfId="0" applyNumberFormat="1" applyFont="1" applyFill="1" applyBorder="1" applyAlignment="1">
      <alignment horizontal="center" vertical="center"/>
    </xf>
    <xf numFmtId="0" fontId="35" fillId="53" borderId="27" xfId="0" applyFont="1" applyFill="1" applyBorder="1" applyAlignment="1">
      <alignment horizontal="left" vertical="center" wrapText="1" readingOrder="1"/>
    </xf>
    <xf numFmtId="0" fontId="28" fillId="0" borderId="15" xfId="0" applyFont="1" applyFill="1" applyBorder="1" applyAlignment="1">
      <alignment horizontal="center" vertical="center" wrapText="1" readingOrder="1"/>
    </xf>
    <xf numFmtId="49" fontId="29" fillId="52" borderId="22" xfId="0" applyNumberFormat="1" applyFont="1" applyFill="1" applyBorder="1" applyAlignment="1">
      <alignment horizontal="center" vertical="center"/>
    </xf>
    <xf numFmtId="0" fontId="35" fillId="53" borderId="15" xfId="0" applyFont="1" applyFill="1" applyBorder="1" applyAlignment="1">
      <alignment horizontal="left" vertical="center" wrapText="1"/>
    </xf>
    <xf numFmtId="0" fontId="28" fillId="53" borderId="15" xfId="0" applyFont="1" applyFill="1" applyBorder="1" applyAlignment="1">
      <alignment horizontal="center" vertical="center" wrapText="1" readingOrder="1"/>
    </xf>
    <xf numFmtId="208" fontId="28" fillId="53" borderId="15" xfId="0" applyNumberFormat="1" applyFont="1" applyFill="1" applyBorder="1" applyAlignment="1">
      <alignment horizontal="center" vertical="center" wrapText="1" readingOrder="1"/>
    </xf>
    <xf numFmtId="4" fontId="35" fillId="53" borderId="15" xfId="120" applyNumberFormat="1" applyFont="1" applyFill="1" applyBorder="1" applyAlignment="1">
      <alignment horizontal="center" vertical="center"/>
    </xf>
    <xf numFmtId="49" fontId="35" fillId="53" borderId="28" xfId="0" applyNumberFormat="1" applyFont="1" applyFill="1" applyBorder="1" applyAlignment="1">
      <alignment horizontal="center" vertical="center"/>
    </xf>
    <xf numFmtId="0" fontId="35" fillId="52" borderId="21" xfId="0" applyFont="1" applyFill="1" applyBorder="1" applyAlignment="1">
      <alignment horizontal="center" vertical="center" wrapText="1" readingOrder="1"/>
    </xf>
    <xf numFmtId="0" fontId="35" fillId="52" borderId="14" xfId="0" applyFont="1" applyFill="1" applyBorder="1" applyAlignment="1">
      <alignment horizontal="center" vertical="center" wrapText="1" readingOrder="1"/>
    </xf>
    <xf numFmtId="208" fontId="35" fillId="52" borderId="26" xfId="0" applyNumberFormat="1" applyFont="1" applyFill="1" applyBorder="1" applyAlignment="1">
      <alignment horizontal="center" vertical="center" wrapText="1" readingOrder="1"/>
    </xf>
    <xf numFmtId="0" fontId="0" fillId="52" borderId="15" xfId="112" applyFont="1" applyFill="1" applyBorder="1" applyAlignment="1">
      <alignment horizontal="left" vertical="center" wrapText="1"/>
      <protection/>
    </xf>
    <xf numFmtId="4" fontId="0" fillId="52" borderId="15" xfId="94" applyNumberFormat="1" applyFont="1" applyFill="1" applyBorder="1" applyAlignment="1">
      <alignment horizontal="center" vertical="center"/>
      <protection/>
    </xf>
    <xf numFmtId="0" fontId="29" fillId="52" borderId="28" xfId="0" applyFont="1" applyFill="1" applyBorder="1" applyAlignment="1">
      <alignment horizontal="left" vertical="center" wrapText="1" readingOrder="1"/>
    </xf>
    <xf numFmtId="4" fontId="36" fillId="53" borderId="28" xfId="0" applyNumberFormat="1" applyFont="1" applyFill="1" applyBorder="1" applyAlignment="1">
      <alignment horizontal="center" vertical="center" wrapText="1" readingOrder="1"/>
    </xf>
    <xf numFmtId="4" fontId="29" fillId="52" borderId="28" xfId="0" applyNumberFormat="1" applyFont="1" applyFill="1" applyBorder="1" applyAlignment="1">
      <alignment horizontal="center" vertical="center" wrapText="1" readingOrder="1"/>
    </xf>
    <xf numFmtId="0" fontId="35" fillId="53" borderId="28" xfId="0" applyFont="1" applyFill="1" applyBorder="1" applyAlignment="1">
      <alignment horizontal="left" vertical="center" wrapText="1" readingOrder="1"/>
    </xf>
    <xf numFmtId="4" fontId="35" fillId="53" borderId="28" xfId="0" applyNumberFormat="1" applyFont="1" applyFill="1" applyBorder="1" applyAlignment="1">
      <alignment horizontal="center" vertical="center" wrapText="1" readingOrder="1"/>
    </xf>
    <xf numFmtId="4" fontId="39" fillId="53" borderId="15" xfId="0" applyNumberFormat="1" applyFont="1" applyFill="1" applyBorder="1" applyAlignment="1">
      <alignment horizontal="center" vertical="center" wrapText="1" readingOrder="1"/>
    </xf>
    <xf numFmtId="49" fontId="29" fillId="0" borderId="28" xfId="0" applyNumberFormat="1" applyFont="1" applyFill="1" applyBorder="1" applyAlignment="1">
      <alignment horizontal="center" vertical="center"/>
    </xf>
    <xf numFmtId="185" fontId="0" fillId="52" borderId="15" xfId="94" applyNumberFormat="1" applyFont="1" applyFill="1" applyBorder="1" applyAlignment="1">
      <alignment horizontal="left" vertical="center" wrapText="1"/>
      <protection/>
    </xf>
    <xf numFmtId="4" fontId="36" fillId="35" borderId="18" xfId="0" applyNumberFormat="1" applyFont="1" applyFill="1" applyBorder="1" applyAlignment="1">
      <alignment horizontal="center" vertical="center" wrapText="1" readingOrder="1"/>
    </xf>
    <xf numFmtId="4" fontId="29" fillId="52" borderId="18" xfId="0" applyNumberFormat="1" applyFont="1" applyFill="1" applyBorder="1" applyAlignment="1">
      <alignment horizontal="center" vertical="center" wrapText="1" readingOrder="1"/>
    </xf>
    <xf numFmtId="0" fontId="0" fillId="0" borderId="0" xfId="0" applyFont="1" applyFill="1" applyAlignment="1">
      <alignment horizontal="center"/>
    </xf>
    <xf numFmtId="186" fontId="19" fillId="54" borderId="15" xfId="0" applyNumberFormat="1" applyFont="1" applyFill="1" applyBorder="1" applyAlignment="1">
      <alignment horizontal="center" vertical="center"/>
    </xf>
    <xf numFmtId="186" fontId="0" fillId="55" borderId="15" xfId="0" applyNumberFormat="1" applyFont="1" applyFill="1" applyBorder="1" applyAlignment="1">
      <alignment horizontal="center" vertical="center"/>
    </xf>
    <xf numFmtId="186" fontId="0" fillId="54" borderId="15" xfId="0" applyNumberFormat="1" applyFont="1" applyFill="1" applyBorder="1" applyAlignment="1">
      <alignment horizontal="center" vertical="center"/>
    </xf>
    <xf numFmtId="0" fontId="19" fillId="54" borderId="15" xfId="0" applyFont="1" applyFill="1" applyBorder="1" applyAlignment="1">
      <alignment/>
    </xf>
    <xf numFmtId="186" fontId="4" fillId="55" borderId="15" xfId="0" applyNumberFormat="1" applyFont="1" applyFill="1" applyBorder="1" applyAlignment="1">
      <alignment horizontal="center" vertical="center"/>
    </xf>
    <xf numFmtId="4" fontId="36" fillId="55" borderId="14" xfId="0" applyNumberFormat="1" applyFont="1" applyFill="1" applyBorder="1" applyAlignment="1">
      <alignment horizontal="center" vertical="center" wrapText="1" readingOrder="1"/>
    </xf>
    <xf numFmtId="208" fontId="34" fillId="0" borderId="15" xfId="0" applyNumberFormat="1" applyFont="1" applyFill="1" applyBorder="1" applyAlignment="1">
      <alignment horizontal="center"/>
    </xf>
    <xf numFmtId="208" fontId="4" fillId="0" borderId="15" xfId="0" applyNumberFormat="1" applyFont="1" applyFill="1" applyBorder="1" applyAlignment="1">
      <alignment horizontal="center"/>
    </xf>
    <xf numFmtId="208" fontId="0" fillId="0" borderId="15" xfId="0" applyNumberFormat="1" applyFill="1" applyBorder="1" applyAlignment="1">
      <alignment horizontal="center" vertical="center"/>
    </xf>
    <xf numFmtId="208" fontId="34" fillId="55" borderId="15" xfId="0" applyNumberFormat="1" applyFont="1" applyFill="1" applyBorder="1" applyAlignment="1">
      <alignment horizontal="center"/>
    </xf>
    <xf numFmtId="208" fontId="34" fillId="55" borderId="15" xfId="0" applyNumberFormat="1" applyFont="1" applyFill="1" applyBorder="1" applyAlignment="1">
      <alignment horizontal="center" vertical="center"/>
    </xf>
    <xf numFmtId="49" fontId="31" fillId="0" borderId="28" xfId="0" applyNumberFormat="1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left" vertical="center" wrapText="1" readingOrder="1"/>
    </xf>
    <xf numFmtId="0" fontId="28" fillId="0" borderId="18" xfId="0" applyFont="1" applyFill="1" applyBorder="1" applyAlignment="1">
      <alignment horizontal="center" vertical="center" wrapText="1" readingOrder="1"/>
    </xf>
    <xf numFmtId="208" fontId="0" fillId="52" borderId="28" xfId="0" applyNumberFormat="1" applyFont="1" applyFill="1" applyBorder="1" applyAlignment="1">
      <alignment horizontal="center" vertical="center" wrapText="1" readingOrder="1"/>
    </xf>
    <xf numFmtId="49" fontId="35" fillId="53" borderId="16" xfId="0" applyNumberFormat="1" applyFont="1" applyFill="1" applyBorder="1" applyAlignment="1">
      <alignment horizontal="center" vertical="center"/>
    </xf>
    <xf numFmtId="0" fontId="35" fillId="53" borderId="30" xfId="0" applyFont="1" applyFill="1" applyBorder="1" applyAlignment="1">
      <alignment horizontal="left" vertical="center" wrapText="1" readingOrder="1"/>
    </xf>
    <xf numFmtId="0" fontId="35" fillId="53" borderId="24" xfId="0" applyFont="1" applyFill="1" applyBorder="1" applyAlignment="1">
      <alignment horizontal="center" vertical="center" wrapText="1" readingOrder="1"/>
    </xf>
    <xf numFmtId="208" fontId="19" fillId="53" borderId="22" xfId="0" applyNumberFormat="1" applyFont="1" applyFill="1" applyBorder="1" applyAlignment="1">
      <alignment horizontal="center" vertical="center" wrapText="1" readingOrder="1"/>
    </xf>
    <xf numFmtId="208" fontId="19" fillId="53" borderId="22" xfId="0" applyNumberFormat="1" applyFont="1" applyFill="1" applyBorder="1" applyAlignment="1">
      <alignment horizontal="center" vertical="center"/>
    </xf>
    <xf numFmtId="186" fontId="19" fillId="54" borderId="22" xfId="0" applyNumberFormat="1" applyFont="1" applyFill="1" applyBorder="1" applyAlignment="1">
      <alignment horizontal="center" vertical="center"/>
    </xf>
    <xf numFmtId="49" fontId="35" fillId="0" borderId="15" xfId="0" applyNumberFormat="1" applyFont="1" applyFill="1" applyBorder="1" applyAlignment="1">
      <alignment horizontal="center" vertical="center"/>
    </xf>
    <xf numFmtId="185" fontId="19" fillId="52" borderId="15" xfId="94" applyNumberFormat="1" applyFont="1" applyFill="1" applyBorder="1" applyAlignment="1">
      <alignment horizontal="left" vertical="center" wrapText="1"/>
      <protection/>
    </xf>
    <xf numFmtId="4" fontId="35" fillId="52" borderId="28" xfId="0" applyNumberFormat="1" applyFont="1" applyFill="1" applyBorder="1" applyAlignment="1">
      <alignment horizontal="center" vertical="center" wrapText="1" readingOrder="1"/>
    </xf>
    <xf numFmtId="4" fontId="35" fillId="52" borderId="15" xfId="0" applyNumberFormat="1" applyFont="1" applyFill="1" applyBorder="1" applyAlignment="1">
      <alignment horizontal="center" vertical="center" wrapText="1" readingOrder="1"/>
    </xf>
    <xf numFmtId="0" fontId="19" fillId="0" borderId="15" xfId="0" applyFont="1" applyFill="1" applyBorder="1" applyAlignment="1">
      <alignment/>
    </xf>
    <xf numFmtId="186" fontId="19" fillId="55" borderId="15" xfId="0" applyNumberFormat="1" applyFont="1" applyFill="1" applyBorder="1" applyAlignment="1">
      <alignment horizontal="center" vertical="center"/>
    </xf>
    <xf numFmtId="4" fontId="34" fillId="0" borderId="25" xfId="0" applyNumberFormat="1" applyFont="1" applyFill="1" applyBorder="1" applyAlignment="1">
      <alignment horizontal="center" vertical="center"/>
    </xf>
    <xf numFmtId="4" fontId="36" fillId="55" borderId="25" xfId="0" applyNumberFormat="1" applyFont="1" applyFill="1" applyBorder="1" applyAlignment="1">
      <alignment horizontal="center" vertical="center" wrapText="1" readingOrder="1"/>
    </xf>
    <xf numFmtId="4" fontId="36" fillId="52" borderId="28" xfId="0" applyNumberFormat="1" applyFont="1" applyFill="1" applyBorder="1" applyAlignment="1">
      <alignment horizontal="center" vertical="center" wrapText="1" readingOrder="1"/>
    </xf>
    <xf numFmtId="4" fontId="28" fillId="52" borderId="31" xfId="0" applyNumberFormat="1" applyFont="1" applyFill="1" applyBorder="1" applyAlignment="1">
      <alignment horizontal="center" vertical="center" wrapText="1" readingOrder="1"/>
    </xf>
    <xf numFmtId="0" fontId="0" fillId="0" borderId="32" xfId="0" applyFill="1" applyBorder="1" applyAlignment="1">
      <alignment/>
    </xf>
    <xf numFmtId="4" fontId="29" fillId="52" borderId="33" xfId="0" applyNumberFormat="1" applyFont="1" applyFill="1" applyBorder="1" applyAlignment="1">
      <alignment horizontal="center" vertical="center" wrapText="1" readingOrder="1"/>
    </xf>
    <xf numFmtId="0" fontId="35" fillId="53" borderId="15" xfId="0" applyFont="1" applyFill="1" applyBorder="1" applyAlignment="1">
      <alignment horizontal="center" vertical="center" wrapText="1"/>
    </xf>
    <xf numFmtId="208" fontId="4" fillId="55" borderId="15" xfId="0" applyNumberFormat="1" applyFont="1" applyFill="1" applyBorder="1" applyAlignment="1">
      <alignment horizontal="center" vertical="center" wrapText="1" readingOrder="1"/>
    </xf>
    <xf numFmtId="185" fontId="27" fillId="52" borderId="15" xfId="94" applyNumberFormat="1" applyFont="1" applyFill="1" applyBorder="1" applyAlignment="1">
      <alignment horizontal="left" vertical="center" wrapText="1"/>
      <protection/>
    </xf>
    <xf numFmtId="4" fontId="43" fillId="53" borderId="15" xfId="0" applyNumberFormat="1" applyFont="1" applyFill="1" applyBorder="1" applyAlignment="1">
      <alignment horizontal="center" vertical="center" wrapText="1"/>
    </xf>
    <xf numFmtId="4" fontId="30" fillId="52" borderId="15" xfId="0" applyNumberFormat="1" applyFont="1" applyFill="1" applyBorder="1" applyAlignment="1">
      <alignment horizontal="center" vertical="center" wrapText="1"/>
    </xf>
    <xf numFmtId="186" fontId="27" fillId="55" borderId="15" xfId="0" applyNumberFormat="1" applyFont="1" applyFill="1" applyBorder="1" applyAlignment="1">
      <alignment horizontal="center" vertical="center"/>
    </xf>
    <xf numFmtId="208" fontId="4" fillId="0" borderId="15" xfId="0" applyNumberFormat="1" applyFont="1" applyFill="1" applyBorder="1" applyAlignment="1">
      <alignment horizontal="center" vertical="center"/>
    </xf>
    <xf numFmtId="186" fontId="34" fillId="55" borderId="15" xfId="0" applyNumberFormat="1" applyFont="1" applyFill="1" applyBorder="1" applyAlignment="1">
      <alignment horizontal="center" vertical="center"/>
    </xf>
    <xf numFmtId="186" fontId="4" fillId="54" borderId="15" xfId="0" applyNumberFormat="1" applyFont="1" applyFill="1" applyBorder="1" applyAlignment="1">
      <alignment horizontal="center" vertical="center"/>
    </xf>
    <xf numFmtId="4" fontId="19" fillId="54" borderId="15" xfId="0" applyNumberFormat="1" applyFont="1" applyFill="1" applyBorder="1" applyAlignment="1">
      <alignment horizontal="center" vertical="center"/>
    </xf>
    <xf numFmtId="4" fontId="36" fillId="53" borderId="24" xfId="0" applyNumberFormat="1" applyFont="1" applyFill="1" applyBorder="1" applyAlignment="1">
      <alignment horizontal="center" vertical="center" wrapText="1" readingOrder="1"/>
    </xf>
    <xf numFmtId="0" fontId="36" fillId="52" borderId="30" xfId="0" applyFont="1" applyFill="1" applyBorder="1" applyAlignment="1">
      <alignment horizontal="left" vertical="center" wrapText="1" readingOrder="1"/>
    </xf>
    <xf numFmtId="208" fontId="34" fillId="0" borderId="28" xfId="0" applyNumberFormat="1" applyFont="1" applyFill="1" applyBorder="1" applyAlignment="1">
      <alignment horizontal="center" vertical="center"/>
    </xf>
    <xf numFmtId="0" fontId="4" fillId="52" borderId="28" xfId="0" applyFont="1" applyFill="1" applyBorder="1" applyAlignment="1">
      <alignment/>
    </xf>
    <xf numFmtId="208" fontId="34" fillId="55" borderId="28" xfId="0" applyNumberFormat="1" applyFont="1" applyFill="1" applyBorder="1" applyAlignment="1">
      <alignment horizontal="center" vertical="center"/>
    </xf>
    <xf numFmtId="186" fontId="34" fillId="55" borderId="28" xfId="0" applyNumberFormat="1" applyFont="1" applyFill="1" applyBorder="1" applyAlignment="1">
      <alignment horizontal="center" vertical="center"/>
    </xf>
    <xf numFmtId="4" fontId="28" fillId="52" borderId="24" xfId="0" applyNumberFormat="1" applyFont="1" applyFill="1" applyBorder="1" applyAlignment="1">
      <alignment horizontal="center" vertical="center" wrapText="1" readingOrder="1"/>
    </xf>
    <xf numFmtId="0" fontId="4" fillId="52" borderId="22" xfId="0" applyFont="1" applyFill="1" applyBorder="1" applyAlignment="1">
      <alignment/>
    </xf>
    <xf numFmtId="4" fontId="28" fillId="52" borderId="24" xfId="0" applyNumberFormat="1" applyFont="1" applyFill="1" applyBorder="1" applyAlignment="1">
      <alignment horizontal="center" vertical="center" wrapText="1" readingOrder="1"/>
    </xf>
    <xf numFmtId="186" fontId="4" fillId="55" borderId="22" xfId="0" applyNumberFormat="1" applyFont="1" applyFill="1" applyBorder="1" applyAlignment="1">
      <alignment horizontal="center" vertical="center"/>
    </xf>
    <xf numFmtId="49" fontId="30" fillId="0" borderId="28" xfId="0" applyNumberFormat="1" applyFont="1" applyFill="1" applyBorder="1" applyAlignment="1">
      <alignment horizontal="center" vertical="center"/>
    </xf>
    <xf numFmtId="4" fontId="28" fillId="52" borderId="28" xfId="0" applyNumberFormat="1" applyFont="1" applyFill="1" applyBorder="1" applyAlignment="1">
      <alignment horizontal="center" vertical="center" wrapText="1" readingOrder="1"/>
    </xf>
    <xf numFmtId="4" fontId="35" fillId="53" borderId="25" xfId="0" applyNumberFormat="1" applyFont="1" applyFill="1" applyBorder="1" applyAlignment="1">
      <alignment horizontal="center" vertical="center" wrapText="1" readingOrder="1"/>
    </xf>
    <xf numFmtId="208" fontId="0" fillId="0" borderId="15" xfId="0" applyNumberFormat="1" applyFill="1" applyBorder="1" applyAlignment="1">
      <alignment horizontal="center"/>
    </xf>
    <xf numFmtId="0" fontId="34" fillId="55" borderId="15" xfId="0" applyFont="1" applyFill="1" applyBorder="1" applyAlignment="1">
      <alignment horizontal="center"/>
    </xf>
    <xf numFmtId="0" fontId="4" fillId="52" borderId="34" xfId="112" applyFont="1" applyFill="1" applyBorder="1" applyAlignment="1">
      <alignment horizontal="left" vertical="center" wrapText="1"/>
      <protection/>
    </xf>
    <xf numFmtId="4" fontId="36" fillId="35" borderId="15" xfId="0" applyNumberFormat="1" applyFont="1" applyFill="1" applyBorder="1" applyAlignment="1">
      <alignment horizontal="center" vertical="center" wrapText="1" readingOrder="1"/>
    </xf>
    <xf numFmtId="4" fontId="29" fillId="52" borderId="31" xfId="0" applyNumberFormat="1" applyFont="1" applyFill="1" applyBorder="1" applyAlignment="1">
      <alignment horizontal="center" vertical="center" wrapText="1" readingOrder="1"/>
    </xf>
    <xf numFmtId="49" fontId="30" fillId="54" borderId="28" xfId="0" applyNumberFormat="1" applyFont="1" applyFill="1" applyBorder="1" applyAlignment="1">
      <alignment horizontal="center" vertical="center"/>
    </xf>
    <xf numFmtId="0" fontId="35" fillId="54" borderId="29" xfId="0" applyFont="1" applyFill="1" applyBorder="1" applyAlignment="1">
      <alignment horizontal="left" vertical="center" wrapText="1" readingOrder="1"/>
    </xf>
    <xf numFmtId="4" fontId="36" fillId="54" borderId="25" xfId="0" applyNumberFormat="1" applyFont="1" applyFill="1" applyBorder="1" applyAlignment="1">
      <alignment horizontal="center" vertical="center" wrapText="1" readingOrder="1"/>
    </xf>
    <xf numFmtId="0" fontId="35" fillId="53" borderId="15" xfId="0" applyFont="1" applyFill="1" applyBorder="1" applyAlignment="1">
      <alignment horizontal="left" vertical="center" wrapText="1" readingOrder="1"/>
    </xf>
    <xf numFmtId="0" fontId="29" fillId="52" borderId="29" xfId="0" applyFont="1" applyFill="1" applyBorder="1" applyAlignment="1">
      <alignment horizontal="left" vertical="center" wrapText="1" readingOrder="1"/>
    </xf>
    <xf numFmtId="4" fontId="35" fillId="54" borderId="31" xfId="0" applyNumberFormat="1" applyFont="1" applyFill="1" applyBorder="1" applyAlignment="1">
      <alignment horizontal="center" vertical="center" wrapText="1" readingOrder="1"/>
    </xf>
    <xf numFmtId="4" fontId="45" fillId="54" borderId="28" xfId="0" applyNumberFormat="1" applyFont="1" applyFill="1" applyBorder="1" applyAlignment="1">
      <alignment horizontal="center" vertical="center" wrapText="1" readingOrder="1"/>
    </xf>
    <xf numFmtId="208" fontId="0" fillId="0" borderId="32" xfId="0" applyNumberFormat="1" applyFill="1" applyBorder="1" applyAlignment="1">
      <alignment horizontal="center" vertical="center"/>
    </xf>
    <xf numFmtId="4" fontId="19" fillId="54" borderId="32" xfId="0" applyNumberFormat="1" applyFont="1" applyFill="1" applyBorder="1" applyAlignment="1">
      <alignment horizontal="center" vertical="center"/>
    </xf>
    <xf numFmtId="0" fontId="36" fillId="55" borderId="17" xfId="0" applyFont="1" applyFill="1" applyBorder="1" applyAlignment="1">
      <alignment horizontal="left" vertical="center" wrapText="1" readingOrder="1"/>
    </xf>
    <xf numFmtId="0" fontId="36" fillId="55" borderId="17" xfId="0" applyFont="1" applyFill="1" applyBorder="1" applyAlignment="1">
      <alignment horizontal="left" vertical="center" wrapText="1" readingOrder="1"/>
    </xf>
    <xf numFmtId="0" fontId="0" fillId="55" borderId="0" xfId="0" applyFill="1" applyAlignment="1">
      <alignment/>
    </xf>
    <xf numFmtId="0" fontId="34" fillId="0" borderId="15" xfId="0" applyFont="1" applyFill="1" applyBorder="1" applyAlignment="1">
      <alignment horizontal="center"/>
    </xf>
    <xf numFmtId="0" fontId="28" fillId="0" borderId="28" xfId="0" applyFont="1" applyFill="1" applyBorder="1" applyAlignment="1">
      <alignment horizontal="center" vertical="center" wrapText="1" readingOrder="1"/>
    </xf>
    <xf numFmtId="0" fontId="0" fillId="0" borderId="22" xfId="0" applyBorder="1" applyAlignment="1">
      <alignment horizontal="center" vertical="center" wrapText="1" readingOrder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left" wrapText="1"/>
    </xf>
    <xf numFmtId="0" fontId="4" fillId="0" borderId="28" xfId="0" applyFont="1" applyFill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49" fontId="41" fillId="0" borderId="35" xfId="0" applyNumberFormat="1" applyFont="1" applyFill="1" applyBorder="1" applyAlignment="1">
      <alignment horizontal="center" vertical="center"/>
    </xf>
    <xf numFmtId="0" fontId="42" fillId="0" borderId="36" xfId="0" applyFont="1" applyBorder="1" applyAlignment="1">
      <alignment/>
    </xf>
    <xf numFmtId="0" fontId="42" fillId="0" borderId="37" xfId="0" applyFont="1" applyBorder="1" applyAlignment="1">
      <alignment/>
    </xf>
    <xf numFmtId="49" fontId="41" fillId="0" borderId="38" xfId="0" applyNumberFormat="1" applyFont="1" applyFill="1" applyBorder="1" applyAlignment="1">
      <alignment horizontal="center" vertical="center"/>
    </xf>
    <xf numFmtId="0" fontId="44" fillId="0" borderId="39" xfId="0" applyFont="1" applyBorder="1" applyAlignment="1">
      <alignment/>
    </xf>
    <xf numFmtId="0" fontId="44" fillId="0" borderId="32" xfId="0" applyFont="1" applyBorder="1" applyAlignment="1">
      <alignment/>
    </xf>
    <xf numFmtId="0" fontId="27" fillId="0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0" fontId="30" fillId="0" borderId="28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8" fillId="0" borderId="40" xfId="0" applyFont="1" applyFill="1" applyBorder="1" applyAlignment="1">
      <alignment horizontal="center" vertical="center" readingOrder="1"/>
    </xf>
    <xf numFmtId="0" fontId="0" fillId="0" borderId="41" xfId="0" applyBorder="1" applyAlignment="1">
      <alignment horizontal="center" vertical="center" readingOrder="1"/>
    </xf>
  </cellXfs>
  <cellStyles count="11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2-9_дод  2-10. з бюджетом розвитку" xfId="112"/>
    <cellStyle name="Followed Hyperlink" xfId="113"/>
    <cellStyle name="Підсумок" xfId="114"/>
    <cellStyle name="Плохой" xfId="115"/>
    <cellStyle name="Поганий" xfId="116"/>
    <cellStyle name="Пояснение" xfId="117"/>
    <cellStyle name="Примечание" xfId="118"/>
    <cellStyle name="Примітка" xfId="119"/>
    <cellStyle name="Percent" xfId="120"/>
    <cellStyle name="Результат" xfId="121"/>
    <cellStyle name="Связанная ячейка" xfId="122"/>
    <cellStyle name="Середній" xfId="123"/>
    <cellStyle name="Стиль 1" xfId="124"/>
    <cellStyle name="Текст пояснення" xfId="125"/>
    <cellStyle name="Текст предупреждения" xfId="126"/>
    <cellStyle name="Тысячи [0]_Розподіл (2)" xfId="127"/>
    <cellStyle name="Тысячи_Розподіл (2)" xfId="128"/>
    <cellStyle name="Comma" xfId="129"/>
    <cellStyle name="Comma [0]" xfId="130"/>
    <cellStyle name="Хороший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58"/>
  <sheetViews>
    <sheetView tabSelected="1" zoomScale="117" zoomScaleNormal="117" zoomScalePageLayoutView="0" workbookViewId="0" topLeftCell="B3">
      <selection activeCell="AE86" sqref="AE86"/>
    </sheetView>
  </sheetViews>
  <sheetFormatPr defaultColWidth="8.66015625" defaultRowHeight="12.75"/>
  <cols>
    <col min="1" max="1" width="8.33203125" style="1" customWidth="1"/>
    <col min="2" max="2" width="50.83203125" style="2" customWidth="1"/>
    <col min="3" max="3" width="20" style="1" hidden="1" customWidth="1"/>
    <col min="4" max="4" width="16.33203125" style="1" hidden="1" customWidth="1"/>
    <col min="5" max="5" width="25.66015625" style="1" hidden="1" customWidth="1"/>
    <col min="6" max="6" width="26.33203125" style="1" hidden="1" customWidth="1"/>
    <col min="7" max="9" width="20.33203125" style="1" hidden="1" customWidth="1"/>
    <col min="10" max="10" width="22.33203125" style="1" hidden="1" customWidth="1"/>
    <col min="11" max="11" width="21.33203125" style="1" hidden="1" customWidth="1"/>
    <col min="12" max="13" width="20.33203125" style="1" hidden="1" customWidth="1"/>
    <col min="14" max="14" width="22.66015625" style="1" hidden="1" customWidth="1"/>
    <col min="15" max="15" width="32.33203125" style="1" hidden="1" customWidth="1"/>
    <col min="16" max="16" width="30.33203125" style="1" hidden="1" customWidth="1"/>
    <col min="17" max="17" width="28.66015625" style="1" hidden="1" customWidth="1"/>
    <col min="18" max="18" width="0.328125" style="1" hidden="1" customWidth="1"/>
    <col min="19" max="19" width="15.33203125" style="1" hidden="1" customWidth="1"/>
    <col min="20" max="20" width="24.33203125" style="1" hidden="1" customWidth="1"/>
    <col min="21" max="21" width="21.33203125" style="1" hidden="1" customWidth="1"/>
    <col min="22" max="22" width="27.33203125" style="1" hidden="1" customWidth="1"/>
    <col min="23" max="23" width="23.66015625" style="1" hidden="1" customWidth="1"/>
    <col min="24" max="24" width="25.33203125" style="1" hidden="1" customWidth="1"/>
    <col min="25" max="25" width="20.33203125" style="1" hidden="1" customWidth="1"/>
    <col min="26" max="26" width="45.33203125" style="1" hidden="1" customWidth="1"/>
    <col min="27" max="27" width="22" style="1" hidden="1" customWidth="1"/>
    <col min="28" max="29" width="19.66015625" style="6" customWidth="1"/>
    <col min="30" max="30" width="20.16015625" style="1" customWidth="1"/>
    <col min="31" max="31" width="21" style="1" customWidth="1"/>
    <col min="32" max="32" width="19.5" style="1" customWidth="1"/>
    <col min="33" max="33" width="12.16015625" style="1" customWidth="1"/>
    <col min="34" max="16384" width="8.66015625" style="1" customWidth="1"/>
  </cols>
  <sheetData>
    <row r="1" spans="30:33" ht="43.5" customHeight="1">
      <c r="AD1" s="196"/>
      <c r="AE1" s="196"/>
      <c r="AF1" s="196"/>
      <c r="AG1" s="196"/>
    </row>
    <row r="2" ht="17.25" hidden="1">
      <c r="B2" s="7"/>
    </row>
    <row r="3" spans="1:33" ht="33" customHeight="1">
      <c r="A3" s="205" t="s">
        <v>42</v>
      </c>
      <c r="B3" s="205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</row>
    <row r="4" spans="2:32" ht="15.75" customHeight="1">
      <c r="B4" s="7"/>
      <c r="AF4" s="117" t="s">
        <v>169</v>
      </c>
    </row>
    <row r="5" spans="1:33" ht="18.75" customHeight="1">
      <c r="A5" s="207" t="s">
        <v>34</v>
      </c>
      <c r="B5" s="209" t="s">
        <v>35</v>
      </c>
      <c r="AB5" s="192" t="s">
        <v>168</v>
      </c>
      <c r="AC5" s="192" t="s">
        <v>80</v>
      </c>
      <c r="AD5" s="194" t="s">
        <v>51</v>
      </c>
      <c r="AE5" s="61" t="s">
        <v>53</v>
      </c>
      <c r="AF5" s="197" t="s">
        <v>191</v>
      </c>
      <c r="AG5" s="194" t="s">
        <v>167</v>
      </c>
    </row>
    <row r="6" spans="1:33" ht="22.5" customHeight="1" thickBot="1">
      <c r="A6" s="208"/>
      <c r="B6" s="210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44"/>
      <c r="AB6" s="193"/>
      <c r="AC6" s="193"/>
      <c r="AD6" s="195"/>
      <c r="AE6" s="60" t="s">
        <v>52</v>
      </c>
      <c r="AF6" s="198"/>
      <c r="AG6" s="195"/>
    </row>
    <row r="7" spans="1:29" ht="29.25" customHeight="1" hidden="1">
      <c r="A7" s="49" t="s">
        <v>41</v>
      </c>
      <c r="B7" s="50" t="s">
        <v>57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  <c r="AB7" s="54" t="e">
        <f>#REF!</f>
        <v>#REF!</v>
      </c>
      <c r="AC7" s="53"/>
    </row>
    <row r="8" spans="1:29" ht="60" customHeight="1" hidden="1">
      <c r="A8" s="129" t="s">
        <v>27</v>
      </c>
      <c r="B8" s="130" t="s">
        <v>58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2" t="e">
        <f>#REF!</f>
        <v>#REF!</v>
      </c>
      <c r="AC8" s="73"/>
    </row>
    <row r="9" spans="1:33" ht="21" customHeight="1" thickBot="1">
      <c r="A9" s="199" t="s">
        <v>170</v>
      </c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1"/>
    </row>
    <row r="10" spans="1:33" ht="33" customHeight="1">
      <c r="A10" s="133" t="s">
        <v>41</v>
      </c>
      <c r="B10" s="134" t="s">
        <v>81</v>
      </c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6">
        <f aca="true" t="shared" si="0" ref="AB10:AB82">AC10+AD10</f>
        <v>18487587.43</v>
      </c>
      <c r="AC10" s="85"/>
      <c r="AD10" s="137">
        <f>SUM(AD11:AD48)</f>
        <v>18487587.43</v>
      </c>
      <c r="AE10" s="137">
        <f>SUM(AE11:AE48)</f>
        <v>18487587.43</v>
      </c>
      <c r="AF10" s="137">
        <f>SUM(AF11:AF48)</f>
        <v>2636012.06</v>
      </c>
      <c r="AG10" s="138">
        <f>AF10/AB10*100</f>
        <v>14.258280427236903</v>
      </c>
    </row>
    <row r="11" spans="1:33" ht="51.75">
      <c r="A11" s="72" t="s">
        <v>27</v>
      </c>
      <c r="B11" s="105" t="s">
        <v>141</v>
      </c>
      <c r="C11" s="102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52">
        <f>AC11+AD11</f>
        <v>10000000</v>
      </c>
      <c r="AC11" s="104"/>
      <c r="AD11" s="106">
        <v>10000000</v>
      </c>
      <c r="AE11" s="92">
        <f aca="true" t="shared" si="1" ref="AE11:AE17">AD11</f>
        <v>10000000</v>
      </c>
      <c r="AF11" s="126">
        <f>224258.97+124037.95</f>
        <v>348296.92</v>
      </c>
      <c r="AG11" s="119">
        <f>AF11/AB11*100</f>
        <v>3.4829691999999994</v>
      </c>
    </row>
    <row r="12" spans="1:33" ht="39">
      <c r="A12" s="72" t="s">
        <v>62</v>
      </c>
      <c r="B12" s="105" t="s">
        <v>142</v>
      </c>
      <c r="C12" s="102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52">
        <f>AC12+AD12</f>
        <v>4372787.43</v>
      </c>
      <c r="AC12" s="104"/>
      <c r="AD12" s="106">
        <f>4372787.43</f>
        <v>4372787.43</v>
      </c>
      <c r="AE12" s="92">
        <f t="shared" si="1"/>
        <v>4372787.43</v>
      </c>
      <c r="AF12" s="174"/>
      <c r="AG12" s="119">
        <f aca="true" t="shared" si="2" ref="AG12:AG75">AF12/AB12*100</f>
        <v>0</v>
      </c>
    </row>
    <row r="13" spans="1:33" ht="25.5">
      <c r="A13" s="72" t="s">
        <v>63</v>
      </c>
      <c r="B13" s="105" t="s">
        <v>179</v>
      </c>
      <c r="C13" s="102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52">
        <f>AC13+AD13</f>
        <v>230000</v>
      </c>
      <c r="AC13" s="104"/>
      <c r="AD13" s="106">
        <v>230000</v>
      </c>
      <c r="AE13" s="92">
        <f>AD13</f>
        <v>230000</v>
      </c>
      <c r="AF13" s="92">
        <f>204691.28+2497.72+1080</f>
        <v>208269</v>
      </c>
      <c r="AG13" s="119">
        <f t="shared" si="2"/>
        <v>90.55173913043478</v>
      </c>
    </row>
    <row r="14" spans="1:33" ht="33" customHeight="1">
      <c r="A14" s="72" t="s">
        <v>64</v>
      </c>
      <c r="B14" s="105" t="s">
        <v>136</v>
      </c>
      <c r="C14" s="102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52">
        <f>AC14+AD14</f>
        <v>800000</v>
      </c>
      <c r="AC14" s="104"/>
      <c r="AD14" s="106">
        <v>800000</v>
      </c>
      <c r="AE14" s="92">
        <f t="shared" si="1"/>
        <v>800000</v>
      </c>
      <c r="AF14" s="174"/>
      <c r="AG14" s="119">
        <f t="shared" si="2"/>
        <v>0</v>
      </c>
    </row>
    <row r="15" spans="1:33" ht="33" customHeight="1">
      <c r="A15" s="72" t="s">
        <v>65</v>
      </c>
      <c r="B15" s="105" t="s">
        <v>140</v>
      </c>
      <c r="C15" s="102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52">
        <f>AC15+AD15</f>
        <v>300000</v>
      </c>
      <c r="AC15" s="104"/>
      <c r="AD15" s="106">
        <v>300000</v>
      </c>
      <c r="AE15" s="92">
        <f t="shared" si="1"/>
        <v>300000</v>
      </c>
      <c r="AF15" s="92">
        <v>299580.28</v>
      </c>
      <c r="AG15" s="119">
        <f t="shared" si="2"/>
        <v>99.86009333333334</v>
      </c>
    </row>
    <row r="16" spans="1:33" ht="26.25" customHeight="1">
      <c r="A16" s="72" t="s">
        <v>66</v>
      </c>
      <c r="B16" s="105" t="s">
        <v>106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152">
        <f t="shared" si="0"/>
        <v>162750</v>
      </c>
      <c r="AC16" s="66"/>
      <c r="AD16" s="106">
        <v>162750</v>
      </c>
      <c r="AE16" s="92">
        <f t="shared" si="1"/>
        <v>162750</v>
      </c>
      <c r="AF16" s="126">
        <f>75281.37+4763</f>
        <v>80044.37</v>
      </c>
      <c r="AG16" s="119">
        <f t="shared" si="2"/>
        <v>49.18240860215054</v>
      </c>
    </row>
    <row r="17" spans="1:33" ht="26.25" customHeight="1">
      <c r="A17" s="72" t="s">
        <v>67</v>
      </c>
      <c r="B17" s="105" t="s">
        <v>180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152">
        <f t="shared" si="0"/>
        <v>351750</v>
      </c>
      <c r="AC17" s="66"/>
      <c r="AD17" s="106">
        <v>351750</v>
      </c>
      <c r="AE17" s="92">
        <f t="shared" si="1"/>
        <v>351750</v>
      </c>
      <c r="AF17" s="126">
        <v>350723</v>
      </c>
      <c r="AG17" s="119">
        <f t="shared" si="2"/>
        <v>99.70803127221038</v>
      </c>
    </row>
    <row r="18" spans="1:33" ht="27" customHeight="1">
      <c r="A18" s="72" t="s">
        <v>68</v>
      </c>
      <c r="B18" s="105" t="s">
        <v>107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152">
        <f t="shared" si="0"/>
        <v>4000</v>
      </c>
      <c r="AC18" s="66"/>
      <c r="AD18" s="106">
        <v>4000</v>
      </c>
      <c r="AE18" s="92">
        <f aca="true" t="shared" si="3" ref="AE18:AE48">AD18</f>
        <v>4000</v>
      </c>
      <c r="AF18" s="92">
        <v>813.5</v>
      </c>
      <c r="AG18" s="119">
        <f t="shared" si="2"/>
        <v>20.3375</v>
      </c>
    </row>
    <row r="19" spans="1:33" ht="24.75" customHeight="1">
      <c r="A19" s="72" t="s">
        <v>69</v>
      </c>
      <c r="B19" s="105" t="s">
        <v>143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152">
        <f t="shared" si="0"/>
        <v>136500</v>
      </c>
      <c r="AC19" s="66"/>
      <c r="AD19" s="106">
        <v>136500</v>
      </c>
      <c r="AE19" s="92">
        <f t="shared" si="3"/>
        <v>136500</v>
      </c>
      <c r="AF19" s="174"/>
      <c r="AG19" s="119">
        <f t="shared" si="2"/>
        <v>0</v>
      </c>
    </row>
    <row r="20" spans="1:33" ht="28.5" customHeight="1">
      <c r="A20" s="72" t="s">
        <v>70</v>
      </c>
      <c r="B20" s="105" t="s">
        <v>144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152">
        <f t="shared" si="0"/>
        <v>105000</v>
      </c>
      <c r="AC20" s="66"/>
      <c r="AD20" s="106">
        <v>105000</v>
      </c>
      <c r="AE20" s="92">
        <f t="shared" si="3"/>
        <v>105000</v>
      </c>
      <c r="AF20" s="126">
        <f>1303.58+82218+922.25</f>
        <v>84443.83</v>
      </c>
      <c r="AG20" s="119">
        <f t="shared" si="2"/>
        <v>80.42269523809524</v>
      </c>
    </row>
    <row r="21" spans="1:33" ht="24" customHeight="1">
      <c r="A21" s="72" t="s">
        <v>71</v>
      </c>
      <c r="B21" s="105" t="s">
        <v>145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152">
        <f t="shared" si="0"/>
        <v>3000</v>
      </c>
      <c r="AC21" s="66"/>
      <c r="AD21" s="106">
        <v>3000</v>
      </c>
      <c r="AE21" s="92">
        <f t="shared" si="3"/>
        <v>3000</v>
      </c>
      <c r="AF21" s="126">
        <v>2508.74</v>
      </c>
      <c r="AG21" s="119">
        <f t="shared" si="2"/>
        <v>83.62466666666666</v>
      </c>
    </row>
    <row r="22" spans="1:33" ht="27" customHeight="1">
      <c r="A22" s="72" t="s">
        <v>72</v>
      </c>
      <c r="B22" s="105" t="s">
        <v>146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152">
        <f t="shared" si="0"/>
        <v>3000</v>
      </c>
      <c r="AC22" s="66"/>
      <c r="AD22" s="106">
        <v>3000</v>
      </c>
      <c r="AE22" s="92">
        <f t="shared" si="3"/>
        <v>3000</v>
      </c>
      <c r="AF22" s="126">
        <v>1962.84</v>
      </c>
      <c r="AG22" s="119">
        <f t="shared" si="2"/>
        <v>65.428</v>
      </c>
    </row>
    <row r="23" spans="1:33" ht="25.5" customHeight="1">
      <c r="A23" s="72" t="s">
        <v>82</v>
      </c>
      <c r="B23" s="105" t="s">
        <v>147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152">
        <f t="shared" si="0"/>
        <v>2000</v>
      </c>
      <c r="AC23" s="66"/>
      <c r="AD23" s="106">
        <v>2000</v>
      </c>
      <c r="AE23" s="92">
        <f t="shared" si="3"/>
        <v>2000</v>
      </c>
      <c r="AF23" s="174"/>
      <c r="AG23" s="119">
        <f t="shared" si="2"/>
        <v>0</v>
      </c>
    </row>
    <row r="24" spans="1:33" ht="27" customHeight="1">
      <c r="A24" s="72" t="s">
        <v>83</v>
      </c>
      <c r="B24" s="105" t="s">
        <v>148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152">
        <f t="shared" si="0"/>
        <v>400000</v>
      </c>
      <c r="AC24" s="66"/>
      <c r="AD24" s="106">
        <v>400000</v>
      </c>
      <c r="AE24" s="92">
        <f t="shared" si="3"/>
        <v>400000</v>
      </c>
      <c r="AF24" s="92">
        <f>18326+6278+133727+131019.76+2700</f>
        <v>292050.76</v>
      </c>
      <c r="AG24" s="119">
        <f t="shared" si="2"/>
        <v>73.01269</v>
      </c>
    </row>
    <row r="25" spans="1:33" ht="38.25" customHeight="1">
      <c r="A25" s="72" t="s">
        <v>84</v>
      </c>
      <c r="B25" s="105" t="s">
        <v>108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152">
        <f t="shared" si="0"/>
        <v>50000</v>
      </c>
      <c r="AC25" s="66"/>
      <c r="AD25" s="106">
        <v>50000</v>
      </c>
      <c r="AE25" s="92">
        <f t="shared" si="3"/>
        <v>50000</v>
      </c>
      <c r="AF25" s="174"/>
      <c r="AG25" s="119">
        <f t="shared" si="2"/>
        <v>0</v>
      </c>
    </row>
    <row r="26" spans="1:33" ht="27.75" customHeight="1">
      <c r="A26" s="72" t="s">
        <v>85</v>
      </c>
      <c r="B26" s="105" t="s">
        <v>149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152">
        <f t="shared" si="0"/>
        <v>16000</v>
      </c>
      <c r="AC26" s="66"/>
      <c r="AD26" s="106">
        <v>16000</v>
      </c>
      <c r="AE26" s="92">
        <f t="shared" si="3"/>
        <v>16000</v>
      </c>
      <c r="AF26" s="92">
        <v>5922.97</v>
      </c>
      <c r="AG26" s="119">
        <f t="shared" si="2"/>
        <v>37.0185625</v>
      </c>
    </row>
    <row r="27" spans="1:33" ht="29.25" customHeight="1">
      <c r="A27" s="72" t="s">
        <v>86</v>
      </c>
      <c r="B27" s="105" t="s">
        <v>150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152">
        <f t="shared" si="0"/>
        <v>16000</v>
      </c>
      <c r="AC27" s="66"/>
      <c r="AD27" s="106">
        <v>16000</v>
      </c>
      <c r="AE27" s="92">
        <f t="shared" si="3"/>
        <v>16000</v>
      </c>
      <c r="AF27" s="92">
        <v>5922.97</v>
      </c>
      <c r="AG27" s="119">
        <f t="shared" si="2"/>
        <v>37.0185625</v>
      </c>
    </row>
    <row r="28" spans="1:33" ht="28.5" customHeight="1">
      <c r="A28" s="72" t="s">
        <v>87</v>
      </c>
      <c r="B28" s="105" t="s">
        <v>151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152">
        <f t="shared" si="0"/>
        <v>16000</v>
      </c>
      <c r="AC28" s="66"/>
      <c r="AD28" s="106">
        <v>16000</v>
      </c>
      <c r="AE28" s="92">
        <f t="shared" si="3"/>
        <v>16000</v>
      </c>
      <c r="AF28" s="92">
        <v>7908.04</v>
      </c>
      <c r="AG28" s="119">
        <f t="shared" si="2"/>
        <v>49.42525</v>
      </c>
    </row>
    <row r="29" spans="1:33" ht="30" customHeight="1">
      <c r="A29" s="72" t="s">
        <v>88</v>
      </c>
      <c r="B29" s="105" t="s">
        <v>152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152">
        <f t="shared" si="0"/>
        <v>16000</v>
      </c>
      <c r="AC29" s="66"/>
      <c r="AD29" s="106">
        <v>16000</v>
      </c>
      <c r="AE29" s="92">
        <f t="shared" si="3"/>
        <v>16000</v>
      </c>
      <c r="AF29" s="92">
        <v>7908.04</v>
      </c>
      <c r="AG29" s="119">
        <f t="shared" si="2"/>
        <v>49.42525</v>
      </c>
    </row>
    <row r="30" spans="1:33" ht="33" customHeight="1">
      <c r="A30" s="72" t="s">
        <v>89</v>
      </c>
      <c r="B30" s="105" t="s">
        <v>153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152">
        <f t="shared" si="0"/>
        <v>52500</v>
      </c>
      <c r="AC30" s="66"/>
      <c r="AD30" s="106">
        <v>52500</v>
      </c>
      <c r="AE30" s="92">
        <f t="shared" si="3"/>
        <v>52500</v>
      </c>
      <c r="AF30" s="92">
        <v>25286.85</v>
      </c>
      <c r="AG30" s="119">
        <f t="shared" si="2"/>
        <v>48.16542857142857</v>
      </c>
    </row>
    <row r="31" spans="1:33" ht="30.75" customHeight="1">
      <c r="A31" s="72" t="s">
        <v>90</v>
      </c>
      <c r="B31" s="105" t="s">
        <v>154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152">
        <f t="shared" si="0"/>
        <v>16000</v>
      </c>
      <c r="AC31" s="66"/>
      <c r="AD31" s="106">
        <v>16000</v>
      </c>
      <c r="AE31" s="92">
        <f t="shared" si="3"/>
        <v>16000</v>
      </c>
      <c r="AF31" s="92">
        <v>5945.25</v>
      </c>
      <c r="AG31" s="119">
        <f t="shared" si="2"/>
        <v>37.1578125</v>
      </c>
    </row>
    <row r="32" spans="1:33" ht="29.25" customHeight="1">
      <c r="A32" s="72" t="s">
        <v>91</v>
      </c>
      <c r="B32" s="105" t="s">
        <v>155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152">
        <f t="shared" si="0"/>
        <v>63000</v>
      </c>
      <c r="AC32" s="66"/>
      <c r="AD32" s="106">
        <v>63000</v>
      </c>
      <c r="AE32" s="92">
        <f t="shared" si="3"/>
        <v>63000</v>
      </c>
      <c r="AF32" s="174"/>
      <c r="AG32" s="119">
        <f t="shared" si="2"/>
        <v>0</v>
      </c>
    </row>
    <row r="33" spans="1:33" ht="26.25" customHeight="1">
      <c r="A33" s="72" t="s">
        <v>92</v>
      </c>
      <c r="B33" s="105" t="s">
        <v>156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152">
        <f t="shared" si="0"/>
        <v>65099.99999999999</v>
      </c>
      <c r="AC33" s="66"/>
      <c r="AD33" s="106">
        <v>65099.99999999999</v>
      </c>
      <c r="AE33" s="92">
        <f t="shared" si="3"/>
        <v>65099.99999999999</v>
      </c>
      <c r="AF33" s="174"/>
      <c r="AG33" s="119">
        <f t="shared" si="2"/>
        <v>0</v>
      </c>
    </row>
    <row r="34" spans="1:33" ht="29.25" customHeight="1">
      <c r="A34" s="72" t="s">
        <v>93</v>
      </c>
      <c r="B34" s="105" t="s">
        <v>157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152">
        <f t="shared" si="0"/>
        <v>5000</v>
      </c>
      <c r="AC34" s="66"/>
      <c r="AD34" s="106">
        <v>5000</v>
      </c>
      <c r="AE34" s="92">
        <f t="shared" si="3"/>
        <v>5000</v>
      </c>
      <c r="AF34" s="92">
        <v>2300</v>
      </c>
      <c r="AG34" s="119">
        <f t="shared" si="2"/>
        <v>46</v>
      </c>
    </row>
    <row r="35" spans="1:33" ht="27.75" customHeight="1">
      <c r="A35" s="72" t="s">
        <v>94</v>
      </c>
      <c r="B35" s="105" t="s">
        <v>158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152">
        <f t="shared" si="0"/>
        <v>63000</v>
      </c>
      <c r="AC35" s="66"/>
      <c r="AD35" s="106">
        <v>63000</v>
      </c>
      <c r="AE35" s="92">
        <f t="shared" si="3"/>
        <v>63000</v>
      </c>
      <c r="AF35" s="174"/>
      <c r="AG35" s="119">
        <f t="shared" si="2"/>
        <v>0</v>
      </c>
    </row>
    <row r="36" spans="1:33" ht="35.25" customHeight="1">
      <c r="A36" s="72" t="s">
        <v>95</v>
      </c>
      <c r="B36" s="105" t="s">
        <v>159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152">
        <f t="shared" si="0"/>
        <v>63000</v>
      </c>
      <c r="AC36" s="66"/>
      <c r="AD36" s="106">
        <v>63000</v>
      </c>
      <c r="AE36" s="92">
        <f t="shared" si="3"/>
        <v>63000</v>
      </c>
      <c r="AF36" s="174"/>
      <c r="AG36" s="119">
        <f t="shared" si="2"/>
        <v>0</v>
      </c>
    </row>
    <row r="37" spans="1:33" ht="27.75" customHeight="1">
      <c r="A37" s="72" t="s">
        <v>96</v>
      </c>
      <c r="B37" s="105" t="s">
        <v>109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152">
        <f t="shared" si="0"/>
        <v>66150</v>
      </c>
      <c r="AC37" s="66"/>
      <c r="AD37" s="106">
        <v>66150</v>
      </c>
      <c r="AE37" s="92">
        <f t="shared" si="3"/>
        <v>66150</v>
      </c>
      <c r="AF37" s="126">
        <v>61484.63</v>
      </c>
      <c r="AG37" s="119">
        <f t="shared" si="2"/>
        <v>92.94728647014361</v>
      </c>
    </row>
    <row r="38" spans="1:33" ht="36" customHeight="1">
      <c r="A38" s="72" t="s">
        <v>97</v>
      </c>
      <c r="B38" s="105" t="s">
        <v>110</v>
      </c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152">
        <f t="shared" si="0"/>
        <v>66150</v>
      </c>
      <c r="AC38" s="66"/>
      <c r="AD38" s="106">
        <v>66150</v>
      </c>
      <c r="AE38" s="92">
        <f t="shared" si="3"/>
        <v>66150</v>
      </c>
      <c r="AF38" s="126">
        <v>61497.52</v>
      </c>
      <c r="AG38" s="119">
        <f t="shared" si="2"/>
        <v>92.96677248677248</v>
      </c>
    </row>
    <row r="39" spans="1:33" ht="33" customHeight="1">
      <c r="A39" s="72" t="s">
        <v>98</v>
      </c>
      <c r="B39" s="105" t="s">
        <v>111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152">
        <f t="shared" si="0"/>
        <v>65099.99999999999</v>
      </c>
      <c r="AC39" s="66"/>
      <c r="AD39" s="106">
        <v>65099.99999999999</v>
      </c>
      <c r="AE39" s="92">
        <f t="shared" si="3"/>
        <v>65099.99999999999</v>
      </c>
      <c r="AF39" s="174"/>
      <c r="AG39" s="119">
        <f t="shared" si="2"/>
        <v>0</v>
      </c>
    </row>
    <row r="40" spans="1:33" ht="27.75" customHeight="1">
      <c r="A40" s="72" t="s">
        <v>99</v>
      </c>
      <c r="B40" s="105" t="s">
        <v>112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152">
        <f t="shared" si="0"/>
        <v>110250</v>
      </c>
      <c r="AC40" s="66"/>
      <c r="AD40" s="106">
        <v>110250</v>
      </c>
      <c r="AE40" s="92">
        <f t="shared" si="3"/>
        <v>110250</v>
      </c>
      <c r="AF40" s="174"/>
      <c r="AG40" s="119">
        <f t="shared" si="2"/>
        <v>0</v>
      </c>
    </row>
    <row r="41" spans="1:33" ht="33.75" customHeight="1">
      <c r="A41" s="72" t="s">
        <v>100</v>
      </c>
      <c r="B41" s="105" t="s">
        <v>113</v>
      </c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152">
        <f t="shared" si="0"/>
        <v>37800</v>
      </c>
      <c r="AC41" s="66"/>
      <c r="AD41" s="106">
        <v>37800</v>
      </c>
      <c r="AE41" s="92">
        <f t="shared" si="3"/>
        <v>37800</v>
      </c>
      <c r="AF41" s="174"/>
      <c r="AG41" s="119">
        <f t="shared" si="2"/>
        <v>0</v>
      </c>
    </row>
    <row r="42" spans="1:33" ht="24" customHeight="1">
      <c r="A42" s="72" t="s">
        <v>101</v>
      </c>
      <c r="B42" s="105" t="s">
        <v>160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152">
        <f t="shared" si="0"/>
        <v>309000</v>
      </c>
      <c r="AC42" s="66"/>
      <c r="AD42" s="106">
        <v>309000</v>
      </c>
      <c r="AE42" s="92">
        <f t="shared" si="3"/>
        <v>309000</v>
      </c>
      <c r="AF42" s="92">
        <v>308151.95</v>
      </c>
      <c r="AG42" s="119">
        <f t="shared" si="2"/>
        <v>99.72555016181231</v>
      </c>
    </row>
    <row r="43" spans="1:33" ht="33.75" customHeight="1">
      <c r="A43" s="72" t="s">
        <v>102</v>
      </c>
      <c r="B43" s="105" t="s">
        <v>161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152">
        <f t="shared" si="0"/>
        <v>3000</v>
      </c>
      <c r="AC43" s="66"/>
      <c r="AD43" s="106">
        <v>3000</v>
      </c>
      <c r="AE43" s="92">
        <f t="shared" si="3"/>
        <v>3000</v>
      </c>
      <c r="AF43" s="126">
        <v>1717</v>
      </c>
      <c r="AG43" s="119">
        <f t="shared" si="2"/>
        <v>57.233333333333334</v>
      </c>
    </row>
    <row r="44" spans="1:33" ht="39" customHeight="1">
      <c r="A44" s="72" t="s">
        <v>103</v>
      </c>
      <c r="B44" s="105" t="s">
        <v>162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152">
        <f t="shared" si="0"/>
        <v>241750</v>
      </c>
      <c r="AC44" s="66"/>
      <c r="AD44" s="106">
        <v>241750</v>
      </c>
      <c r="AE44" s="92">
        <f t="shared" si="3"/>
        <v>241750</v>
      </c>
      <c r="AF44" s="126">
        <f>6480+207921.6</f>
        <v>214401.6</v>
      </c>
      <c r="AG44" s="119">
        <f t="shared" si="2"/>
        <v>88.68732161323682</v>
      </c>
    </row>
    <row r="45" spans="1:33" ht="39" customHeight="1">
      <c r="A45" s="72" t="s">
        <v>132</v>
      </c>
      <c r="B45" s="105" t="s">
        <v>163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152">
        <f t="shared" si="0"/>
        <v>5000</v>
      </c>
      <c r="AC45" s="66"/>
      <c r="AD45" s="106">
        <v>5000</v>
      </c>
      <c r="AE45" s="92">
        <f t="shared" si="3"/>
        <v>5000</v>
      </c>
      <c r="AF45" s="126">
        <v>540</v>
      </c>
      <c r="AG45" s="119">
        <f t="shared" si="2"/>
        <v>10.8</v>
      </c>
    </row>
    <row r="46" spans="1:33" ht="28.5" customHeight="1">
      <c r="A46" s="72" t="s">
        <v>133</v>
      </c>
      <c r="B46" s="105" t="s">
        <v>114</v>
      </c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152">
        <f t="shared" si="0"/>
        <v>123000</v>
      </c>
      <c r="AC46" s="66"/>
      <c r="AD46" s="106">
        <v>123000</v>
      </c>
      <c r="AE46" s="92">
        <f t="shared" si="3"/>
        <v>123000</v>
      </c>
      <c r="AF46" s="126">
        <f>114641+1350+675</f>
        <v>116666</v>
      </c>
      <c r="AG46" s="119">
        <f t="shared" si="2"/>
        <v>94.85040650406505</v>
      </c>
    </row>
    <row r="47" spans="1:33" ht="27" customHeight="1">
      <c r="A47" s="72" t="s">
        <v>134</v>
      </c>
      <c r="B47" s="105" t="s">
        <v>115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152">
        <f t="shared" si="0"/>
        <v>123000</v>
      </c>
      <c r="AC47" s="63"/>
      <c r="AD47" s="106">
        <v>123000</v>
      </c>
      <c r="AE47" s="92">
        <f t="shared" si="3"/>
        <v>123000</v>
      </c>
      <c r="AF47" s="126">
        <f>114641+1350+675</f>
        <v>116666</v>
      </c>
      <c r="AG47" s="119">
        <f t="shared" si="2"/>
        <v>94.85040650406505</v>
      </c>
    </row>
    <row r="48" spans="1:33" ht="24.75" customHeight="1">
      <c r="A48" s="72" t="s">
        <v>135</v>
      </c>
      <c r="B48" s="105" t="s">
        <v>116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152">
        <f t="shared" si="0"/>
        <v>25000</v>
      </c>
      <c r="AC48" s="74"/>
      <c r="AD48" s="106">
        <v>25000</v>
      </c>
      <c r="AE48" s="92">
        <f t="shared" si="3"/>
        <v>25000</v>
      </c>
      <c r="AF48" s="126">
        <v>25000</v>
      </c>
      <c r="AG48" s="119">
        <f t="shared" si="2"/>
        <v>100</v>
      </c>
    </row>
    <row r="49" spans="1:33" ht="42.75" customHeight="1">
      <c r="A49" s="84" t="s">
        <v>39</v>
      </c>
      <c r="B49" s="97" t="s">
        <v>119</v>
      </c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54">
        <f>AB50</f>
        <v>5521264</v>
      </c>
      <c r="AC49" s="99"/>
      <c r="AD49" s="100">
        <f>AD50</f>
        <v>5521264</v>
      </c>
      <c r="AE49" s="86">
        <f>AE50</f>
        <v>5521264</v>
      </c>
      <c r="AF49" s="86">
        <f>AF50</f>
        <v>596639</v>
      </c>
      <c r="AG49" s="120">
        <f t="shared" si="2"/>
        <v>10.806203072339956</v>
      </c>
    </row>
    <row r="50" spans="1:33" ht="51.75">
      <c r="A50" s="96" t="s">
        <v>54</v>
      </c>
      <c r="B50" s="105" t="s">
        <v>164</v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65">
        <f>AD50</f>
        <v>5521264</v>
      </c>
      <c r="AC50" s="74"/>
      <c r="AD50" s="75">
        <v>5521264</v>
      </c>
      <c r="AE50" s="75">
        <f>AD50</f>
        <v>5521264</v>
      </c>
      <c r="AF50" s="75">
        <f>307752+3676+16500+268711</f>
        <v>596639</v>
      </c>
      <c r="AG50" s="119">
        <f t="shared" si="2"/>
        <v>10.806203072339956</v>
      </c>
    </row>
    <row r="51" spans="1:33" s="3" customFormat="1" ht="30.75" customHeight="1">
      <c r="A51" s="93" t="s">
        <v>40</v>
      </c>
      <c r="B51" s="94" t="s">
        <v>37</v>
      </c>
      <c r="C51" s="59">
        <f aca="true" t="shared" si="4" ref="C51:AA51">C52+C58+C66+C70+C77+C82+C85+C90+C92+C95+C96+C99</f>
        <v>8274352</v>
      </c>
      <c r="D51" s="59">
        <f t="shared" si="4"/>
        <v>8274352</v>
      </c>
      <c r="E51" s="59">
        <f t="shared" si="4"/>
        <v>8274352</v>
      </c>
      <c r="F51" s="59">
        <f t="shared" si="4"/>
        <v>8274352</v>
      </c>
      <c r="G51" s="59">
        <f t="shared" si="4"/>
        <v>8274352</v>
      </c>
      <c r="H51" s="59">
        <f t="shared" si="4"/>
        <v>8274352</v>
      </c>
      <c r="I51" s="59">
        <f t="shared" si="4"/>
        <v>8274352</v>
      </c>
      <c r="J51" s="59">
        <f t="shared" si="4"/>
        <v>8274352</v>
      </c>
      <c r="K51" s="59">
        <f t="shared" si="4"/>
        <v>8274352</v>
      </c>
      <c r="L51" s="59">
        <f t="shared" si="4"/>
        <v>8274352</v>
      </c>
      <c r="M51" s="59">
        <f t="shared" si="4"/>
        <v>8274352</v>
      </c>
      <c r="N51" s="59">
        <f t="shared" si="4"/>
        <v>8274352</v>
      </c>
      <c r="O51" s="59">
        <f t="shared" si="4"/>
        <v>8274352</v>
      </c>
      <c r="P51" s="59">
        <f t="shared" si="4"/>
        <v>8274352</v>
      </c>
      <c r="Q51" s="59">
        <f t="shared" si="4"/>
        <v>8274352</v>
      </c>
      <c r="R51" s="59">
        <f t="shared" si="4"/>
        <v>8274352</v>
      </c>
      <c r="S51" s="59">
        <f t="shared" si="4"/>
        <v>8274352</v>
      </c>
      <c r="T51" s="59">
        <f t="shared" si="4"/>
        <v>8274352</v>
      </c>
      <c r="U51" s="59">
        <f t="shared" si="4"/>
        <v>8274352</v>
      </c>
      <c r="V51" s="59">
        <f t="shared" si="4"/>
        <v>8274352</v>
      </c>
      <c r="W51" s="59">
        <f t="shared" si="4"/>
        <v>8274352</v>
      </c>
      <c r="X51" s="59">
        <f t="shared" si="4"/>
        <v>8274352</v>
      </c>
      <c r="Y51" s="59">
        <f t="shared" si="4"/>
        <v>8274352</v>
      </c>
      <c r="Z51" s="59">
        <f t="shared" si="4"/>
        <v>8274352</v>
      </c>
      <c r="AA51" s="59">
        <f t="shared" si="4"/>
        <v>8274352</v>
      </c>
      <c r="AB51" s="59">
        <f t="shared" si="0"/>
        <v>84448794.88</v>
      </c>
      <c r="AC51" s="59">
        <f>AC52+AC58+AC66+AC70+AC77+AC82+AC85+AC90+AC92+AC95+AC96+AC99</f>
        <v>83748794.88</v>
      </c>
      <c r="AD51" s="137">
        <f>AD85</f>
        <v>700000</v>
      </c>
      <c r="AE51" s="137">
        <f>AE85</f>
        <v>700000</v>
      </c>
      <c r="AF51" s="59">
        <f>AF52+AF58+AF66+AF70+AF77+AF82+AF85+AF90+AF92+AF95+AF96+AF99</f>
        <v>44725986.71</v>
      </c>
      <c r="AG51" s="159">
        <f t="shared" si="2"/>
        <v>52.962255735626194</v>
      </c>
    </row>
    <row r="52" spans="1:33" ht="38.25" customHeight="1">
      <c r="A52" s="27" t="s">
        <v>15</v>
      </c>
      <c r="B52" s="29" t="s">
        <v>55</v>
      </c>
      <c r="C52" s="14">
        <f aca="true" t="shared" si="5" ref="C52:AA52">C53+C54+C55+C56+C57</f>
        <v>0</v>
      </c>
      <c r="D52" s="14">
        <f t="shared" si="5"/>
        <v>0</v>
      </c>
      <c r="E52" s="14">
        <f t="shared" si="5"/>
        <v>0</v>
      </c>
      <c r="F52" s="14">
        <f t="shared" si="5"/>
        <v>0</v>
      </c>
      <c r="G52" s="14">
        <f t="shared" si="5"/>
        <v>0</v>
      </c>
      <c r="H52" s="14">
        <f t="shared" si="5"/>
        <v>0</v>
      </c>
      <c r="I52" s="14">
        <f t="shared" si="5"/>
        <v>0</v>
      </c>
      <c r="J52" s="14">
        <f t="shared" si="5"/>
        <v>0</v>
      </c>
      <c r="K52" s="14">
        <f t="shared" si="5"/>
        <v>0</v>
      </c>
      <c r="L52" s="14">
        <f t="shared" si="5"/>
        <v>0</v>
      </c>
      <c r="M52" s="14">
        <f t="shared" si="5"/>
        <v>0</v>
      </c>
      <c r="N52" s="14">
        <f t="shared" si="5"/>
        <v>0</v>
      </c>
      <c r="O52" s="14">
        <f t="shared" si="5"/>
        <v>0</v>
      </c>
      <c r="P52" s="14">
        <f t="shared" si="5"/>
        <v>0</v>
      </c>
      <c r="Q52" s="14">
        <f t="shared" si="5"/>
        <v>0</v>
      </c>
      <c r="R52" s="14">
        <f t="shared" si="5"/>
        <v>0</v>
      </c>
      <c r="S52" s="14">
        <f t="shared" si="5"/>
        <v>0</v>
      </c>
      <c r="T52" s="14">
        <f t="shared" si="5"/>
        <v>0</v>
      </c>
      <c r="U52" s="14">
        <f t="shared" si="5"/>
        <v>0</v>
      </c>
      <c r="V52" s="14">
        <f t="shared" si="5"/>
        <v>0</v>
      </c>
      <c r="W52" s="14">
        <f t="shared" si="5"/>
        <v>0</v>
      </c>
      <c r="X52" s="14">
        <f t="shared" si="5"/>
        <v>0</v>
      </c>
      <c r="Y52" s="14">
        <f t="shared" si="5"/>
        <v>0</v>
      </c>
      <c r="Z52" s="14">
        <f t="shared" si="5"/>
        <v>0</v>
      </c>
      <c r="AA52" s="14">
        <f t="shared" si="5"/>
        <v>0</v>
      </c>
      <c r="AB52" s="38">
        <f t="shared" si="0"/>
        <v>21186294</v>
      </c>
      <c r="AC52" s="14">
        <f>AC53+AC54+AC55+AC56+AC57</f>
        <v>21186294</v>
      </c>
      <c r="AD52" s="67"/>
      <c r="AE52" s="14"/>
      <c r="AF52" s="14">
        <f>AF53+AF54+AF55+AF56+AF57</f>
        <v>10679348.68</v>
      </c>
      <c r="AG52" s="122">
        <f t="shared" si="2"/>
        <v>50.40687474647524</v>
      </c>
    </row>
    <row r="53" spans="1:33" ht="25.5">
      <c r="A53" s="10"/>
      <c r="B53" s="22" t="s">
        <v>77</v>
      </c>
      <c r="AB53" s="45">
        <f t="shared" si="0"/>
        <v>5144038</v>
      </c>
      <c r="AC53" s="20">
        <f>5144038</f>
        <v>5144038</v>
      </c>
      <c r="AD53" s="67"/>
      <c r="AE53" s="20"/>
      <c r="AF53" s="123">
        <f>324175+336167+149658+420490+413155+499445+448055</f>
        <v>2591145</v>
      </c>
      <c r="AG53" s="158">
        <f t="shared" si="2"/>
        <v>50.37180907295008</v>
      </c>
    </row>
    <row r="54" spans="1:33" ht="13.5">
      <c r="A54" s="10"/>
      <c r="B54" s="26" t="s">
        <v>25</v>
      </c>
      <c r="AB54" s="45">
        <f t="shared" si="0"/>
        <v>12422833</v>
      </c>
      <c r="AC54" s="15">
        <v>12422833</v>
      </c>
      <c r="AD54" s="67"/>
      <c r="AE54" s="15"/>
      <c r="AF54" s="127">
        <f>2603768.82+1149494.03+1033722.65+872286.13+677084.69</f>
        <v>6336356.32</v>
      </c>
      <c r="AG54" s="158">
        <f t="shared" si="2"/>
        <v>51.0057272765399</v>
      </c>
    </row>
    <row r="55" spans="1:33" ht="25.5">
      <c r="A55" s="10"/>
      <c r="B55" s="22" t="s">
        <v>78</v>
      </c>
      <c r="AB55" s="45">
        <f t="shared" si="0"/>
        <v>870700</v>
      </c>
      <c r="AC55" s="20">
        <v>870700</v>
      </c>
      <c r="AD55" s="67"/>
      <c r="AE55" s="20"/>
      <c r="AF55" s="123">
        <f>417685.71+3200+35760.98</f>
        <v>456646.69</v>
      </c>
      <c r="AG55" s="158">
        <f t="shared" si="2"/>
        <v>52.44592741472378</v>
      </c>
    </row>
    <row r="56" spans="1:33" ht="25.5">
      <c r="A56" s="10"/>
      <c r="B56" s="22" t="s">
        <v>118</v>
      </c>
      <c r="D56" s="12"/>
      <c r="AB56" s="45">
        <f t="shared" si="0"/>
        <v>1590100</v>
      </c>
      <c r="AC56" s="20">
        <f>1590099+1</f>
        <v>1590100</v>
      </c>
      <c r="AD56" s="67"/>
      <c r="AE56" s="20"/>
      <c r="AF56" s="123">
        <f>45438.97+44255.69+37484.28+40935.59+44353.81+42750.1+40647.87+52921.26+44937.87+41673.6+57277.65+61528.78+51686.06+58295.5+52217.22</f>
        <v>716404.25</v>
      </c>
      <c r="AG56" s="158">
        <f t="shared" si="2"/>
        <v>45.05403748191937</v>
      </c>
    </row>
    <row r="57" spans="1:33" ht="13.5">
      <c r="A57" s="10"/>
      <c r="B57" s="26" t="s">
        <v>7</v>
      </c>
      <c r="AB57" s="47">
        <f t="shared" si="0"/>
        <v>1158623</v>
      </c>
      <c r="AC57" s="46">
        <v>1158623</v>
      </c>
      <c r="AD57" s="67"/>
      <c r="AE57" s="46"/>
      <c r="AF57" s="123">
        <f>100963.54+129283.26+160067.74+105390.88+83091</f>
        <v>578796.4199999999</v>
      </c>
      <c r="AG57" s="158">
        <f t="shared" si="2"/>
        <v>49.95554377912401</v>
      </c>
    </row>
    <row r="58" spans="1:33" ht="25.5">
      <c r="A58" s="27" t="s">
        <v>120</v>
      </c>
      <c r="B58" s="21" t="s">
        <v>28</v>
      </c>
      <c r="C58" s="19">
        <f aca="true" t="shared" si="6" ref="C58:AA58">SUM(C59:C63)</f>
        <v>3339004</v>
      </c>
      <c r="D58" s="19">
        <f t="shared" si="6"/>
        <v>3339004</v>
      </c>
      <c r="E58" s="19">
        <f t="shared" si="6"/>
        <v>3339004</v>
      </c>
      <c r="F58" s="19">
        <f t="shared" si="6"/>
        <v>3339004</v>
      </c>
      <c r="G58" s="19">
        <f t="shared" si="6"/>
        <v>3339004</v>
      </c>
      <c r="H58" s="19">
        <f t="shared" si="6"/>
        <v>3339004</v>
      </c>
      <c r="I58" s="19">
        <f t="shared" si="6"/>
        <v>3339004</v>
      </c>
      <c r="J58" s="19">
        <f t="shared" si="6"/>
        <v>3339004</v>
      </c>
      <c r="K58" s="19">
        <f t="shared" si="6"/>
        <v>3339004</v>
      </c>
      <c r="L58" s="19">
        <f t="shared" si="6"/>
        <v>3339004</v>
      </c>
      <c r="M58" s="19">
        <f t="shared" si="6"/>
        <v>3339004</v>
      </c>
      <c r="N58" s="19">
        <f t="shared" si="6"/>
        <v>3339004</v>
      </c>
      <c r="O58" s="19">
        <f t="shared" si="6"/>
        <v>3339004</v>
      </c>
      <c r="P58" s="19">
        <f t="shared" si="6"/>
        <v>3339004</v>
      </c>
      <c r="Q58" s="19">
        <f t="shared" si="6"/>
        <v>3339004</v>
      </c>
      <c r="R58" s="19">
        <f t="shared" si="6"/>
        <v>3339004</v>
      </c>
      <c r="S58" s="19">
        <f t="shared" si="6"/>
        <v>3339004</v>
      </c>
      <c r="T58" s="19">
        <f t="shared" si="6"/>
        <v>3339004</v>
      </c>
      <c r="U58" s="19">
        <f t="shared" si="6"/>
        <v>3339004</v>
      </c>
      <c r="V58" s="19">
        <f t="shared" si="6"/>
        <v>3339004</v>
      </c>
      <c r="W58" s="19">
        <f t="shared" si="6"/>
        <v>3339004</v>
      </c>
      <c r="X58" s="19">
        <f t="shared" si="6"/>
        <v>3339004</v>
      </c>
      <c r="Y58" s="19">
        <f t="shared" si="6"/>
        <v>3339004</v>
      </c>
      <c r="Z58" s="19">
        <f t="shared" si="6"/>
        <v>3339004</v>
      </c>
      <c r="AA58" s="19">
        <f t="shared" si="6"/>
        <v>3339004</v>
      </c>
      <c r="AB58" s="39">
        <f t="shared" si="0"/>
        <v>11779154</v>
      </c>
      <c r="AC58" s="19">
        <f>SUM(AC59:AC65)</f>
        <v>11779154</v>
      </c>
      <c r="AD58" s="67"/>
      <c r="AE58" s="19"/>
      <c r="AF58" s="19">
        <f>SUM(AF59:AF65)</f>
        <v>6847242.609999999</v>
      </c>
      <c r="AG58" s="122">
        <f t="shared" si="2"/>
        <v>58.13017310071673</v>
      </c>
    </row>
    <row r="59" spans="1:33" ht="13.5">
      <c r="A59" s="11"/>
      <c r="B59" s="26" t="s">
        <v>8</v>
      </c>
      <c r="C59" s="20">
        <v>2669004</v>
      </c>
      <c r="D59" s="20">
        <v>2669004</v>
      </c>
      <c r="E59" s="20">
        <v>2669004</v>
      </c>
      <c r="F59" s="20">
        <v>2669004</v>
      </c>
      <c r="G59" s="20">
        <v>2669004</v>
      </c>
      <c r="H59" s="20">
        <v>2669004</v>
      </c>
      <c r="I59" s="20">
        <v>2669004</v>
      </c>
      <c r="J59" s="20">
        <v>2669004</v>
      </c>
      <c r="K59" s="20">
        <v>2669004</v>
      </c>
      <c r="L59" s="20">
        <v>2669004</v>
      </c>
      <c r="M59" s="20">
        <v>2669004</v>
      </c>
      <c r="N59" s="20">
        <v>2669004</v>
      </c>
      <c r="O59" s="20">
        <v>2669004</v>
      </c>
      <c r="P59" s="20">
        <v>2669004</v>
      </c>
      <c r="Q59" s="20">
        <v>2669004</v>
      </c>
      <c r="R59" s="20">
        <v>2669004</v>
      </c>
      <c r="S59" s="20">
        <v>2669004</v>
      </c>
      <c r="T59" s="20">
        <v>2669004</v>
      </c>
      <c r="U59" s="20">
        <v>2669004</v>
      </c>
      <c r="V59" s="20">
        <v>2669004</v>
      </c>
      <c r="W59" s="20">
        <v>2669004</v>
      </c>
      <c r="X59" s="20">
        <v>2669004</v>
      </c>
      <c r="Y59" s="20">
        <v>2669004</v>
      </c>
      <c r="Z59" s="20">
        <v>2669004</v>
      </c>
      <c r="AA59" s="20">
        <v>2669004</v>
      </c>
      <c r="AB59" s="20">
        <f t="shared" si="0"/>
        <v>3769004</v>
      </c>
      <c r="AC59" s="20">
        <f>2669004+1100000</f>
        <v>3769004</v>
      </c>
      <c r="AD59" s="67"/>
      <c r="AE59" s="20"/>
      <c r="AF59" s="127">
        <f>159420+157905.51+548500+548500+573500</f>
        <v>1987825.51</v>
      </c>
      <c r="AG59" s="158">
        <f t="shared" si="2"/>
        <v>52.74140091122217</v>
      </c>
    </row>
    <row r="60" spans="1:33" ht="13.5">
      <c r="A60" s="11"/>
      <c r="B60" s="22" t="s">
        <v>46</v>
      </c>
      <c r="C60" s="20">
        <v>120000</v>
      </c>
      <c r="D60" s="20">
        <v>120000</v>
      </c>
      <c r="E60" s="20">
        <v>120000</v>
      </c>
      <c r="F60" s="20">
        <v>120000</v>
      </c>
      <c r="G60" s="20">
        <v>120000</v>
      </c>
      <c r="H60" s="20">
        <v>120000</v>
      </c>
      <c r="I60" s="20">
        <v>120000</v>
      </c>
      <c r="J60" s="20">
        <v>120000</v>
      </c>
      <c r="K60" s="20">
        <v>120000</v>
      </c>
      <c r="L60" s="20">
        <v>120000</v>
      </c>
      <c r="M60" s="20">
        <v>120000</v>
      </c>
      <c r="N60" s="20">
        <v>120000</v>
      </c>
      <c r="O60" s="20">
        <v>120000</v>
      </c>
      <c r="P60" s="20">
        <v>120000</v>
      </c>
      <c r="Q60" s="20">
        <v>120000</v>
      </c>
      <c r="R60" s="20">
        <v>120000</v>
      </c>
      <c r="S60" s="20">
        <v>120000</v>
      </c>
      <c r="T60" s="20">
        <v>120000</v>
      </c>
      <c r="U60" s="20">
        <v>120000</v>
      </c>
      <c r="V60" s="20">
        <v>120000</v>
      </c>
      <c r="W60" s="20">
        <v>120000</v>
      </c>
      <c r="X60" s="20">
        <v>120000</v>
      </c>
      <c r="Y60" s="20">
        <v>120000</v>
      </c>
      <c r="Z60" s="20">
        <v>120000</v>
      </c>
      <c r="AA60" s="20">
        <v>120000</v>
      </c>
      <c r="AB60" s="20">
        <f t="shared" si="0"/>
        <v>120000</v>
      </c>
      <c r="AC60" s="20">
        <v>120000</v>
      </c>
      <c r="AD60" s="67"/>
      <c r="AE60" s="20"/>
      <c r="AF60" s="127">
        <v>119988</v>
      </c>
      <c r="AG60" s="158">
        <f t="shared" si="2"/>
        <v>99.99</v>
      </c>
    </row>
    <row r="61" spans="1:33" ht="13.5">
      <c r="A61" s="11"/>
      <c r="B61" s="22" t="s">
        <v>50</v>
      </c>
      <c r="C61" s="20">
        <v>250000</v>
      </c>
      <c r="D61" s="20">
        <v>250000</v>
      </c>
      <c r="E61" s="20">
        <v>250000</v>
      </c>
      <c r="F61" s="20">
        <v>250000</v>
      </c>
      <c r="G61" s="20">
        <v>250000</v>
      </c>
      <c r="H61" s="20">
        <v>250000</v>
      </c>
      <c r="I61" s="20">
        <v>250000</v>
      </c>
      <c r="J61" s="20">
        <v>250000</v>
      </c>
      <c r="K61" s="20">
        <v>250000</v>
      </c>
      <c r="L61" s="20">
        <v>250000</v>
      </c>
      <c r="M61" s="20">
        <v>250000</v>
      </c>
      <c r="N61" s="20">
        <v>250000</v>
      </c>
      <c r="O61" s="20">
        <v>250000</v>
      </c>
      <c r="P61" s="20">
        <v>250000</v>
      </c>
      <c r="Q61" s="20">
        <v>250000</v>
      </c>
      <c r="R61" s="20">
        <v>250000</v>
      </c>
      <c r="S61" s="20">
        <v>250000</v>
      </c>
      <c r="T61" s="20">
        <v>250000</v>
      </c>
      <c r="U61" s="20">
        <v>250000</v>
      </c>
      <c r="V61" s="20">
        <v>250000</v>
      </c>
      <c r="W61" s="20">
        <v>250000</v>
      </c>
      <c r="X61" s="20">
        <v>250000</v>
      </c>
      <c r="Y61" s="20">
        <v>250000</v>
      </c>
      <c r="Z61" s="20">
        <v>250000</v>
      </c>
      <c r="AA61" s="20">
        <v>250000</v>
      </c>
      <c r="AB61" s="20">
        <f t="shared" si="0"/>
        <v>950000</v>
      </c>
      <c r="AC61" s="20">
        <f>250000+700000</f>
        <v>950000</v>
      </c>
      <c r="AD61" s="67"/>
      <c r="AE61" s="20"/>
      <c r="AF61" s="127">
        <f>186900+96800+90100+96800</f>
        <v>470600</v>
      </c>
      <c r="AG61" s="158">
        <f t="shared" si="2"/>
        <v>49.536842105263155</v>
      </c>
    </row>
    <row r="62" spans="1:33" ht="13.5">
      <c r="A62" s="11"/>
      <c r="B62" s="188" t="s">
        <v>9</v>
      </c>
      <c r="C62" s="20">
        <v>300000</v>
      </c>
      <c r="D62" s="20">
        <v>300000</v>
      </c>
      <c r="E62" s="20">
        <v>300000</v>
      </c>
      <c r="F62" s="20">
        <v>300000</v>
      </c>
      <c r="G62" s="20">
        <v>300000</v>
      </c>
      <c r="H62" s="20">
        <v>300000</v>
      </c>
      <c r="I62" s="20">
        <v>300000</v>
      </c>
      <c r="J62" s="20">
        <v>300000</v>
      </c>
      <c r="K62" s="20">
        <v>300000</v>
      </c>
      <c r="L62" s="20">
        <v>300000</v>
      </c>
      <c r="M62" s="20">
        <v>300000</v>
      </c>
      <c r="N62" s="20">
        <v>300000</v>
      </c>
      <c r="O62" s="20">
        <v>300000</v>
      </c>
      <c r="P62" s="20">
        <v>300000</v>
      </c>
      <c r="Q62" s="20">
        <v>300000</v>
      </c>
      <c r="R62" s="20">
        <v>300000</v>
      </c>
      <c r="S62" s="20">
        <v>300000</v>
      </c>
      <c r="T62" s="20">
        <v>300000</v>
      </c>
      <c r="U62" s="20">
        <v>300000</v>
      </c>
      <c r="V62" s="20">
        <v>300000</v>
      </c>
      <c r="W62" s="20">
        <v>300000</v>
      </c>
      <c r="X62" s="20">
        <v>300000</v>
      </c>
      <c r="Y62" s="20">
        <v>300000</v>
      </c>
      <c r="Z62" s="20">
        <v>300000</v>
      </c>
      <c r="AA62" s="20">
        <v>300000</v>
      </c>
      <c r="AB62" s="20">
        <f t="shared" si="0"/>
        <v>400000</v>
      </c>
      <c r="AC62" s="20">
        <f>300000+100000</f>
        <v>400000</v>
      </c>
      <c r="AD62" s="67"/>
      <c r="AE62" s="20"/>
      <c r="AF62" s="127">
        <f>50000+80000+80000</f>
        <v>210000</v>
      </c>
      <c r="AG62" s="158">
        <f t="shared" si="2"/>
        <v>52.5</v>
      </c>
    </row>
    <row r="63" spans="1:37" ht="57" customHeight="1">
      <c r="A63" s="11"/>
      <c r="B63" s="188" t="s">
        <v>10</v>
      </c>
      <c r="AB63" s="20">
        <f t="shared" si="0"/>
        <v>4440150</v>
      </c>
      <c r="AC63" s="20">
        <f>3940150+500000</f>
        <v>4440150</v>
      </c>
      <c r="AD63" s="67"/>
      <c r="AE63" s="20"/>
      <c r="AF63" s="123">
        <f>334500+599412+766710+184408-382500+487050+229400+50115+449125+390683+392211.1+120790</f>
        <v>3621904.1</v>
      </c>
      <c r="AG63" s="158">
        <f t="shared" si="2"/>
        <v>81.57166086731304</v>
      </c>
      <c r="AI63" s="190"/>
      <c r="AJ63" s="190"/>
      <c r="AK63" s="190"/>
    </row>
    <row r="64" spans="1:33" ht="13.5">
      <c r="A64" s="11"/>
      <c r="B64" s="189" t="s">
        <v>166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20">
        <f>AC64</f>
        <v>100000</v>
      </c>
      <c r="AC64" s="20">
        <v>100000</v>
      </c>
      <c r="AD64" s="67"/>
      <c r="AE64" s="20"/>
      <c r="AF64" s="37"/>
      <c r="AG64" s="158">
        <f t="shared" si="2"/>
        <v>0</v>
      </c>
    </row>
    <row r="65" spans="1:33" ht="25.5">
      <c r="A65" s="11"/>
      <c r="B65" s="189" t="s">
        <v>59</v>
      </c>
      <c r="AB65" s="20">
        <f t="shared" si="0"/>
        <v>2000000</v>
      </c>
      <c r="AC65" s="20">
        <v>2000000</v>
      </c>
      <c r="AD65" s="67"/>
      <c r="AE65" s="20"/>
      <c r="AF65" s="42">
        <f>135300+67900+128825+104900</f>
        <v>436925</v>
      </c>
      <c r="AG65" s="158">
        <f t="shared" si="2"/>
        <v>21.84625</v>
      </c>
    </row>
    <row r="66" spans="1:33" ht="25.5" customHeight="1">
      <c r="A66" s="27" t="s">
        <v>121</v>
      </c>
      <c r="B66" s="21" t="s">
        <v>29</v>
      </c>
      <c r="C66" s="19">
        <f aca="true" t="shared" si="7" ref="C66:AA66">SUM(C67:C69)</f>
        <v>0</v>
      </c>
      <c r="D66" s="19">
        <f t="shared" si="7"/>
        <v>0</v>
      </c>
      <c r="E66" s="19">
        <f t="shared" si="7"/>
        <v>0</v>
      </c>
      <c r="F66" s="19">
        <f t="shared" si="7"/>
        <v>0</v>
      </c>
      <c r="G66" s="19">
        <f t="shared" si="7"/>
        <v>0</v>
      </c>
      <c r="H66" s="19">
        <f t="shared" si="7"/>
        <v>0</v>
      </c>
      <c r="I66" s="19">
        <f t="shared" si="7"/>
        <v>0</v>
      </c>
      <c r="J66" s="19">
        <f t="shared" si="7"/>
        <v>0</v>
      </c>
      <c r="K66" s="19">
        <f t="shared" si="7"/>
        <v>0</v>
      </c>
      <c r="L66" s="19">
        <f t="shared" si="7"/>
        <v>0</v>
      </c>
      <c r="M66" s="19">
        <f t="shared" si="7"/>
        <v>0</v>
      </c>
      <c r="N66" s="19">
        <f t="shared" si="7"/>
        <v>0</v>
      </c>
      <c r="O66" s="19">
        <f t="shared" si="7"/>
        <v>0</v>
      </c>
      <c r="P66" s="19">
        <f t="shared" si="7"/>
        <v>0</v>
      </c>
      <c r="Q66" s="19">
        <f t="shared" si="7"/>
        <v>0</v>
      </c>
      <c r="R66" s="19">
        <f t="shared" si="7"/>
        <v>0</v>
      </c>
      <c r="S66" s="19">
        <f t="shared" si="7"/>
        <v>0</v>
      </c>
      <c r="T66" s="19">
        <f t="shared" si="7"/>
        <v>0</v>
      </c>
      <c r="U66" s="19">
        <f t="shared" si="7"/>
        <v>0</v>
      </c>
      <c r="V66" s="19">
        <f t="shared" si="7"/>
        <v>0</v>
      </c>
      <c r="W66" s="19">
        <f t="shared" si="7"/>
        <v>0</v>
      </c>
      <c r="X66" s="19">
        <f t="shared" si="7"/>
        <v>0</v>
      </c>
      <c r="Y66" s="19">
        <f t="shared" si="7"/>
        <v>0</v>
      </c>
      <c r="Z66" s="19">
        <f t="shared" si="7"/>
        <v>0</v>
      </c>
      <c r="AA66" s="19">
        <f t="shared" si="7"/>
        <v>0</v>
      </c>
      <c r="AB66" s="40">
        <f t="shared" si="0"/>
        <v>1886414</v>
      </c>
      <c r="AC66" s="19">
        <f>SUM(AC67:AC69)</f>
        <v>1886414</v>
      </c>
      <c r="AD66" s="67"/>
      <c r="AE66" s="19"/>
      <c r="AF66" s="19">
        <f>SUM(AF67:AF69)</f>
        <v>752070.5399999999</v>
      </c>
      <c r="AG66" s="122">
        <f t="shared" si="2"/>
        <v>39.86773529034453</v>
      </c>
    </row>
    <row r="67" spans="1:33" ht="13.5">
      <c r="A67" s="11"/>
      <c r="B67" s="26" t="s">
        <v>17</v>
      </c>
      <c r="AB67" s="41">
        <f t="shared" si="0"/>
        <v>1374225</v>
      </c>
      <c r="AC67" s="20">
        <v>1374225</v>
      </c>
      <c r="AD67" s="67"/>
      <c r="AE67" s="20"/>
      <c r="AF67" s="124">
        <f>339880.61+247787.62</f>
        <v>587668.23</v>
      </c>
      <c r="AG67" s="158">
        <f t="shared" si="2"/>
        <v>42.763610762429735</v>
      </c>
    </row>
    <row r="68" spans="1:33" ht="13.5">
      <c r="A68" s="11"/>
      <c r="B68" s="26" t="s">
        <v>18</v>
      </c>
      <c r="AB68" s="41">
        <f t="shared" si="0"/>
        <v>238278</v>
      </c>
      <c r="AC68" s="20">
        <v>238278</v>
      </c>
      <c r="AD68" s="67"/>
      <c r="AE68" s="20"/>
      <c r="AF68" s="124">
        <f>47069.11+47069.11</f>
        <v>94138.22</v>
      </c>
      <c r="AG68" s="158">
        <f t="shared" si="2"/>
        <v>39.507726269315675</v>
      </c>
    </row>
    <row r="69" spans="1:33" ht="13.5">
      <c r="A69" s="11"/>
      <c r="B69" s="26" t="s">
        <v>19</v>
      </c>
      <c r="AB69" s="41">
        <f t="shared" si="0"/>
        <v>273911</v>
      </c>
      <c r="AC69" s="20">
        <v>273911</v>
      </c>
      <c r="AD69" s="67"/>
      <c r="AE69" s="20"/>
      <c r="AF69" s="174">
        <f>35254.8+35009.29</f>
        <v>70264.09</v>
      </c>
      <c r="AG69" s="158">
        <f t="shared" si="2"/>
        <v>25.652160738342015</v>
      </c>
    </row>
    <row r="70" spans="1:33" ht="13.5">
      <c r="A70" s="27" t="s">
        <v>122</v>
      </c>
      <c r="B70" s="21" t="s">
        <v>11</v>
      </c>
      <c r="C70" s="19">
        <f aca="true" t="shared" si="8" ref="C70:AA70">SUM(C71:C76)</f>
        <v>3044240</v>
      </c>
      <c r="D70" s="19">
        <f t="shared" si="8"/>
        <v>3044240</v>
      </c>
      <c r="E70" s="19">
        <f t="shared" si="8"/>
        <v>3044240</v>
      </c>
      <c r="F70" s="19">
        <f t="shared" si="8"/>
        <v>3044240</v>
      </c>
      <c r="G70" s="19">
        <f t="shared" si="8"/>
        <v>3044240</v>
      </c>
      <c r="H70" s="19">
        <f t="shared" si="8"/>
        <v>3044240</v>
      </c>
      <c r="I70" s="19">
        <f t="shared" si="8"/>
        <v>3044240</v>
      </c>
      <c r="J70" s="19">
        <f t="shared" si="8"/>
        <v>3044240</v>
      </c>
      <c r="K70" s="19">
        <f t="shared" si="8"/>
        <v>3044240</v>
      </c>
      <c r="L70" s="19">
        <f t="shared" si="8"/>
        <v>3044240</v>
      </c>
      <c r="M70" s="19">
        <f t="shared" si="8"/>
        <v>3044240</v>
      </c>
      <c r="N70" s="19">
        <f t="shared" si="8"/>
        <v>3044240</v>
      </c>
      <c r="O70" s="19">
        <f t="shared" si="8"/>
        <v>3044240</v>
      </c>
      <c r="P70" s="19">
        <f t="shared" si="8"/>
        <v>3044240</v>
      </c>
      <c r="Q70" s="19">
        <f t="shared" si="8"/>
        <v>3044240</v>
      </c>
      <c r="R70" s="19">
        <f t="shared" si="8"/>
        <v>3044240</v>
      </c>
      <c r="S70" s="19">
        <f t="shared" si="8"/>
        <v>3044240</v>
      </c>
      <c r="T70" s="19">
        <f t="shared" si="8"/>
        <v>3044240</v>
      </c>
      <c r="U70" s="19">
        <f t="shared" si="8"/>
        <v>3044240</v>
      </c>
      <c r="V70" s="19">
        <f t="shared" si="8"/>
        <v>3044240</v>
      </c>
      <c r="W70" s="19">
        <f t="shared" si="8"/>
        <v>3044240</v>
      </c>
      <c r="X70" s="19">
        <f t="shared" si="8"/>
        <v>3044240</v>
      </c>
      <c r="Y70" s="19">
        <f t="shared" si="8"/>
        <v>3044240</v>
      </c>
      <c r="Z70" s="19">
        <f t="shared" si="8"/>
        <v>3044240</v>
      </c>
      <c r="AA70" s="19">
        <f t="shared" si="8"/>
        <v>3044240</v>
      </c>
      <c r="AB70" s="40">
        <f t="shared" si="0"/>
        <v>4971206</v>
      </c>
      <c r="AC70" s="19">
        <f>SUM(AC71:AC76)</f>
        <v>4971206</v>
      </c>
      <c r="AD70" s="67"/>
      <c r="AE70" s="19"/>
      <c r="AF70" s="19">
        <f>SUM(AF71:AF76)</f>
        <v>2712737.82</v>
      </c>
      <c r="AG70" s="122">
        <f t="shared" si="2"/>
        <v>54.5690084056062</v>
      </c>
    </row>
    <row r="71" spans="1:33" ht="40.5" customHeight="1">
      <c r="A71" s="11"/>
      <c r="B71" s="22" t="s">
        <v>56</v>
      </c>
      <c r="C71" s="20">
        <v>3044240</v>
      </c>
      <c r="D71" s="20">
        <v>3044240</v>
      </c>
      <c r="E71" s="20">
        <v>3044240</v>
      </c>
      <c r="F71" s="20">
        <v>3044240</v>
      </c>
      <c r="G71" s="20">
        <v>3044240</v>
      </c>
      <c r="H71" s="20">
        <v>3044240</v>
      </c>
      <c r="I71" s="20">
        <v>3044240</v>
      </c>
      <c r="J71" s="20">
        <v>3044240</v>
      </c>
      <c r="K71" s="20">
        <v>3044240</v>
      </c>
      <c r="L71" s="20">
        <v>3044240</v>
      </c>
      <c r="M71" s="20">
        <v>3044240</v>
      </c>
      <c r="N71" s="20">
        <v>3044240</v>
      </c>
      <c r="O71" s="20">
        <v>3044240</v>
      </c>
      <c r="P71" s="20">
        <v>3044240</v>
      </c>
      <c r="Q71" s="20">
        <v>3044240</v>
      </c>
      <c r="R71" s="20">
        <v>3044240</v>
      </c>
      <c r="S71" s="20">
        <v>3044240</v>
      </c>
      <c r="T71" s="20">
        <v>3044240</v>
      </c>
      <c r="U71" s="20">
        <v>3044240</v>
      </c>
      <c r="V71" s="20">
        <v>3044240</v>
      </c>
      <c r="W71" s="20">
        <v>3044240</v>
      </c>
      <c r="X71" s="20">
        <v>3044240</v>
      </c>
      <c r="Y71" s="20">
        <v>3044240</v>
      </c>
      <c r="Z71" s="20">
        <v>3044240</v>
      </c>
      <c r="AA71" s="20">
        <v>3044240</v>
      </c>
      <c r="AB71" s="20">
        <f t="shared" si="0"/>
        <v>3044240</v>
      </c>
      <c r="AC71" s="20">
        <v>3044240</v>
      </c>
      <c r="AD71" s="67"/>
      <c r="AE71" s="20"/>
      <c r="AF71" s="123">
        <f>943292.69+110239.17+42262.5+25763.97+117826.99+10236.13+29552.79+204138.26</f>
        <v>1483312.4999999998</v>
      </c>
      <c r="AG71" s="158">
        <f t="shared" si="2"/>
        <v>48.72521548892333</v>
      </c>
    </row>
    <row r="72" spans="1:33" ht="13.5">
      <c r="A72" s="11"/>
      <c r="B72" s="22" t="s">
        <v>43</v>
      </c>
      <c r="AB72" s="20">
        <f t="shared" si="0"/>
        <v>500000</v>
      </c>
      <c r="AC72" s="20">
        <f>200000+50000+250000</f>
        <v>500000</v>
      </c>
      <c r="AD72" s="67"/>
      <c r="AE72" s="20"/>
      <c r="AF72" s="123">
        <f>382500+77500</f>
        <v>460000</v>
      </c>
      <c r="AG72" s="158">
        <f t="shared" si="2"/>
        <v>92</v>
      </c>
    </row>
    <row r="73" spans="1:33" ht="51.75">
      <c r="A73" s="11"/>
      <c r="B73" s="22" t="s">
        <v>76</v>
      </c>
      <c r="AB73" s="20">
        <f t="shared" si="0"/>
        <v>1316240</v>
      </c>
      <c r="AC73" s="20">
        <v>1316240</v>
      </c>
      <c r="AD73" s="67"/>
      <c r="AE73" s="20"/>
      <c r="AF73" s="123">
        <f>14937.5+3286.25+67768.09+13945.14+18952.7+62004+18952.7+70935.29+19701.87+6615+74549.96+19701.87+76630.02+19701.87+72270.18+30661.48+86507.4</f>
        <v>677121.32</v>
      </c>
      <c r="AG73" s="158">
        <f t="shared" si="2"/>
        <v>51.443606029295566</v>
      </c>
    </row>
    <row r="74" spans="1:33" ht="25.5">
      <c r="A74" s="11"/>
      <c r="B74" s="22" t="s">
        <v>174</v>
      </c>
      <c r="AB74" s="20">
        <f t="shared" si="0"/>
        <v>44770</v>
      </c>
      <c r="AC74" s="20">
        <v>44770</v>
      </c>
      <c r="AD74" s="67"/>
      <c r="AE74" s="20"/>
      <c r="AF74" s="146">
        <f>44770</f>
        <v>44770</v>
      </c>
      <c r="AG74" s="158">
        <f t="shared" si="2"/>
        <v>100</v>
      </c>
    </row>
    <row r="75" spans="1:33" ht="13.5">
      <c r="A75" s="11"/>
      <c r="B75" s="26" t="s">
        <v>20</v>
      </c>
      <c r="AB75" s="20">
        <f t="shared" si="0"/>
        <v>54596</v>
      </c>
      <c r="AC75" s="20">
        <v>54596</v>
      </c>
      <c r="AD75" s="67"/>
      <c r="AE75" s="20"/>
      <c r="AF75" s="175">
        <f>34298.08+7674.14</f>
        <v>41972.22</v>
      </c>
      <c r="AG75" s="158">
        <f t="shared" si="2"/>
        <v>76.87782987764672</v>
      </c>
    </row>
    <row r="76" spans="1:33" ht="13.5">
      <c r="A76" s="11"/>
      <c r="B76" s="26" t="s">
        <v>21</v>
      </c>
      <c r="AB76" s="20">
        <f t="shared" si="0"/>
        <v>11360</v>
      </c>
      <c r="AC76" s="20">
        <v>11360</v>
      </c>
      <c r="AD76" s="67"/>
      <c r="AE76" s="20"/>
      <c r="AF76" s="127">
        <f>1096.45+1623.08+725.56+343.59+788.59+984.51</f>
        <v>5561.78</v>
      </c>
      <c r="AG76" s="158">
        <f aca="true" t="shared" si="9" ref="AG76:AG117">AF76/AB76*100</f>
        <v>48.959330985915486</v>
      </c>
    </row>
    <row r="77" spans="1:33" ht="13.5">
      <c r="A77" s="27" t="s">
        <v>123</v>
      </c>
      <c r="B77" s="21" t="s">
        <v>30</v>
      </c>
      <c r="C77" s="19">
        <f aca="true" t="shared" si="10" ref="C77:AA77">SUM(C78:C79)</f>
        <v>0</v>
      </c>
      <c r="D77" s="19">
        <f t="shared" si="10"/>
        <v>0</v>
      </c>
      <c r="E77" s="19">
        <f t="shared" si="10"/>
        <v>0</v>
      </c>
      <c r="F77" s="19">
        <f t="shared" si="10"/>
        <v>0</v>
      </c>
      <c r="G77" s="19">
        <f t="shared" si="10"/>
        <v>0</v>
      </c>
      <c r="H77" s="19">
        <f t="shared" si="10"/>
        <v>0</v>
      </c>
      <c r="I77" s="19">
        <f t="shared" si="10"/>
        <v>0</v>
      </c>
      <c r="J77" s="19">
        <f t="shared" si="10"/>
        <v>0</v>
      </c>
      <c r="K77" s="19">
        <f t="shared" si="10"/>
        <v>0</v>
      </c>
      <c r="L77" s="19">
        <f t="shared" si="10"/>
        <v>0</v>
      </c>
      <c r="M77" s="19">
        <f t="shared" si="10"/>
        <v>0</v>
      </c>
      <c r="N77" s="19">
        <f t="shared" si="10"/>
        <v>0</v>
      </c>
      <c r="O77" s="19">
        <f t="shared" si="10"/>
        <v>0</v>
      </c>
      <c r="P77" s="19">
        <f t="shared" si="10"/>
        <v>0</v>
      </c>
      <c r="Q77" s="19">
        <f t="shared" si="10"/>
        <v>0</v>
      </c>
      <c r="R77" s="19">
        <f t="shared" si="10"/>
        <v>0</v>
      </c>
      <c r="S77" s="19">
        <f t="shared" si="10"/>
        <v>0</v>
      </c>
      <c r="T77" s="19">
        <f t="shared" si="10"/>
        <v>0</v>
      </c>
      <c r="U77" s="19">
        <f t="shared" si="10"/>
        <v>0</v>
      </c>
      <c r="V77" s="19">
        <f t="shared" si="10"/>
        <v>0</v>
      </c>
      <c r="W77" s="19">
        <f t="shared" si="10"/>
        <v>0</v>
      </c>
      <c r="X77" s="19">
        <f t="shared" si="10"/>
        <v>0</v>
      </c>
      <c r="Y77" s="19">
        <f t="shared" si="10"/>
        <v>0</v>
      </c>
      <c r="Z77" s="19">
        <f t="shared" si="10"/>
        <v>0</v>
      </c>
      <c r="AA77" s="19">
        <f t="shared" si="10"/>
        <v>0</v>
      </c>
      <c r="AB77" s="19">
        <f t="shared" si="0"/>
        <v>24426330</v>
      </c>
      <c r="AC77" s="19">
        <f>SUM(AC78:AC81)</f>
        <v>24426330</v>
      </c>
      <c r="AD77" s="67"/>
      <c r="AE77" s="19"/>
      <c r="AF77" s="23">
        <f>AF80+AF78+AF79</f>
        <v>12372331.4</v>
      </c>
      <c r="AG77" s="122">
        <f t="shared" si="9"/>
        <v>50.65161815139647</v>
      </c>
    </row>
    <row r="78" spans="1:33" ht="30" customHeight="1">
      <c r="A78" s="11"/>
      <c r="B78" s="22" t="s">
        <v>45</v>
      </c>
      <c r="AB78" s="42">
        <f t="shared" si="0"/>
        <v>3431330</v>
      </c>
      <c r="AC78" s="20">
        <f>3431330</f>
        <v>3431330</v>
      </c>
      <c r="AD78" s="67"/>
      <c r="AE78" s="20"/>
      <c r="AF78" s="42">
        <f>192232.6+707168.71</f>
        <v>899401.3099999999</v>
      </c>
      <c r="AG78" s="158">
        <f t="shared" si="9"/>
        <v>26.211448913395095</v>
      </c>
    </row>
    <row r="79" spans="1:33" ht="13.5" customHeight="1">
      <c r="A79" s="11"/>
      <c r="B79" s="26" t="s">
        <v>31</v>
      </c>
      <c r="AB79" s="42">
        <f t="shared" si="0"/>
        <v>895000</v>
      </c>
      <c r="AC79" s="20">
        <v>895000</v>
      </c>
      <c r="AD79" s="67"/>
      <c r="AE79" s="20"/>
      <c r="AF79" s="41">
        <v>892398</v>
      </c>
      <c r="AG79" s="158">
        <f t="shared" si="9"/>
        <v>99.70927374301675</v>
      </c>
    </row>
    <row r="80" spans="1:33" ht="27.75" customHeight="1">
      <c r="A80" s="11"/>
      <c r="B80" s="22" t="s">
        <v>60</v>
      </c>
      <c r="AB80" s="163">
        <f>AC80+AD80</f>
        <v>20000000</v>
      </c>
      <c r="AC80" s="77">
        <v>20000000</v>
      </c>
      <c r="AD80" s="164"/>
      <c r="AE80" s="77"/>
      <c r="AF80" s="165">
        <f>2564498.56+788337.15+1768939.39+804063.36+592442.11+804063.36+804063.36+804063.36+1650061.44</f>
        <v>10580532.09</v>
      </c>
      <c r="AG80" s="166">
        <f>AF80/AB80*100</f>
        <v>52.90266044999999</v>
      </c>
    </row>
    <row r="81" spans="1:33" ht="51.75">
      <c r="A81" s="11"/>
      <c r="B81" s="162" t="s">
        <v>183</v>
      </c>
      <c r="AB81" s="42">
        <f>AC81+AD81</f>
        <v>100000</v>
      </c>
      <c r="AC81" s="71">
        <v>100000</v>
      </c>
      <c r="AD81" s="37"/>
      <c r="AE81" s="37"/>
      <c r="AF81" s="37"/>
      <c r="AG81" s="158">
        <f>AF81/AB81*100</f>
        <v>0</v>
      </c>
    </row>
    <row r="82" spans="1:33" ht="34.5" customHeight="1">
      <c r="A82" s="27" t="s">
        <v>124</v>
      </c>
      <c r="B82" s="21" t="s">
        <v>1</v>
      </c>
      <c r="C82" s="19">
        <f aca="true" t="shared" si="11" ref="C82:AA82">SUM(C83:C84)</f>
        <v>0</v>
      </c>
      <c r="D82" s="19">
        <f t="shared" si="11"/>
        <v>0</v>
      </c>
      <c r="E82" s="19">
        <f t="shared" si="11"/>
        <v>0</v>
      </c>
      <c r="F82" s="19">
        <f t="shared" si="11"/>
        <v>0</v>
      </c>
      <c r="G82" s="19">
        <f t="shared" si="11"/>
        <v>0</v>
      </c>
      <c r="H82" s="19">
        <f t="shared" si="11"/>
        <v>0</v>
      </c>
      <c r="I82" s="19">
        <f t="shared" si="11"/>
        <v>0</v>
      </c>
      <c r="J82" s="19">
        <f t="shared" si="11"/>
        <v>0</v>
      </c>
      <c r="K82" s="19">
        <f t="shared" si="11"/>
        <v>0</v>
      </c>
      <c r="L82" s="19">
        <f t="shared" si="11"/>
        <v>0</v>
      </c>
      <c r="M82" s="19">
        <f t="shared" si="11"/>
        <v>0</v>
      </c>
      <c r="N82" s="19">
        <f t="shared" si="11"/>
        <v>0</v>
      </c>
      <c r="O82" s="19">
        <f t="shared" si="11"/>
        <v>0</v>
      </c>
      <c r="P82" s="19">
        <f t="shared" si="11"/>
        <v>0</v>
      </c>
      <c r="Q82" s="19">
        <f t="shared" si="11"/>
        <v>0</v>
      </c>
      <c r="R82" s="19">
        <f t="shared" si="11"/>
        <v>0</v>
      </c>
      <c r="S82" s="19">
        <f t="shared" si="11"/>
        <v>0</v>
      </c>
      <c r="T82" s="19">
        <f t="shared" si="11"/>
        <v>0</v>
      </c>
      <c r="U82" s="19">
        <f t="shared" si="11"/>
        <v>0</v>
      </c>
      <c r="V82" s="19">
        <f t="shared" si="11"/>
        <v>0</v>
      </c>
      <c r="W82" s="19">
        <f t="shared" si="11"/>
        <v>0</v>
      </c>
      <c r="X82" s="19">
        <f t="shared" si="11"/>
        <v>0</v>
      </c>
      <c r="Y82" s="19">
        <f t="shared" si="11"/>
        <v>0</v>
      </c>
      <c r="Z82" s="19">
        <f t="shared" si="11"/>
        <v>0</v>
      </c>
      <c r="AA82" s="19">
        <f t="shared" si="11"/>
        <v>0</v>
      </c>
      <c r="AB82" s="167">
        <f t="shared" si="0"/>
        <v>994592.46</v>
      </c>
      <c r="AC82" s="167">
        <f>SUM(AC83:AC84)</f>
        <v>994592.46</v>
      </c>
      <c r="AD82" s="168"/>
      <c r="AE82" s="167"/>
      <c r="AF82" s="169">
        <f>AF83+AF84</f>
        <v>765536.5</v>
      </c>
      <c r="AG82" s="170">
        <f t="shared" si="9"/>
        <v>76.96986763804745</v>
      </c>
    </row>
    <row r="83" spans="1:33" ht="25.5">
      <c r="A83" s="11"/>
      <c r="B83" s="22" t="s">
        <v>32</v>
      </c>
      <c r="AB83" s="43">
        <f aca="true" t="shared" si="12" ref="AB83:AB107">AC83+AD83</f>
        <v>559092.46</v>
      </c>
      <c r="AC83" s="20">
        <f>439698+119394.46</f>
        <v>559092.46</v>
      </c>
      <c r="AD83" s="67"/>
      <c r="AE83" s="20"/>
      <c r="AF83" s="123">
        <f>80937.24+20234.31+20234.31+23108.63+22431.99+23108.63+23108.63+23108.63+23108.63+23108.63+23968.48+23968.49</f>
        <v>330426.6</v>
      </c>
      <c r="AG83" s="158">
        <f t="shared" si="9"/>
        <v>59.100528739021094</v>
      </c>
    </row>
    <row r="84" spans="1:33" ht="37.5" customHeight="1">
      <c r="A84" s="11"/>
      <c r="B84" s="22" t="s">
        <v>33</v>
      </c>
      <c r="AB84" s="43">
        <f t="shared" si="12"/>
        <v>435500</v>
      </c>
      <c r="AC84" s="20">
        <f>87853+347647</f>
        <v>435500</v>
      </c>
      <c r="AD84" s="62"/>
      <c r="AE84" s="20"/>
      <c r="AF84" s="123">
        <f>165041+110068.9+160000</f>
        <v>435109.9</v>
      </c>
      <c r="AG84" s="158">
        <f t="shared" si="9"/>
        <v>99.91042479908153</v>
      </c>
    </row>
    <row r="85" spans="1:33" ht="25.5">
      <c r="A85" s="27" t="s">
        <v>125</v>
      </c>
      <c r="B85" s="21" t="s">
        <v>36</v>
      </c>
      <c r="AB85" s="48">
        <f t="shared" si="12"/>
        <v>16513696.42</v>
      </c>
      <c r="AC85" s="19">
        <f>SUM(AC86:AC88)</f>
        <v>15813696.42</v>
      </c>
      <c r="AD85" s="73">
        <f>AD89</f>
        <v>700000</v>
      </c>
      <c r="AE85" s="73">
        <f>AE89</f>
        <v>700000</v>
      </c>
      <c r="AF85" s="23">
        <f>SUM(AF86:AF89)</f>
        <v>9266528.93</v>
      </c>
      <c r="AG85" s="122">
        <f t="shared" si="9"/>
        <v>56.114201777242066</v>
      </c>
    </row>
    <row r="86" spans="1:33" ht="39">
      <c r="A86" s="11"/>
      <c r="B86" s="22" t="s">
        <v>49</v>
      </c>
      <c r="AB86" s="43">
        <f t="shared" si="12"/>
        <v>14884984.41</v>
      </c>
      <c r="AC86" s="20">
        <f>14372949+512035.41</f>
        <v>14884984.41</v>
      </c>
      <c r="AD86" s="74"/>
      <c r="AE86" s="20"/>
      <c r="AF86" s="128">
        <f>6806669.74+69763.78+7408.62+85567.68+110059.99+350220.29+195200+52702.5+7248+426974.49+195200</f>
        <v>8307015.090000001</v>
      </c>
      <c r="AG86" s="158">
        <f t="shared" si="9"/>
        <v>55.80802009049602</v>
      </c>
    </row>
    <row r="87" spans="1:33" ht="42.75" customHeight="1">
      <c r="A87" s="11"/>
      <c r="B87" s="22" t="s">
        <v>61</v>
      </c>
      <c r="AB87" s="43">
        <f t="shared" si="12"/>
        <v>898712.01</v>
      </c>
      <c r="AC87" s="20">
        <v>898712.01</v>
      </c>
      <c r="AD87" s="63"/>
      <c r="AE87" s="20"/>
      <c r="AF87" s="128">
        <f>145332+51839.42+77926.65+65541.63+5958.33+61072.69+5595.78+29990.1+31120+19345.66+1273.54+112500</f>
        <v>607495.7999999999</v>
      </c>
      <c r="AG87" s="158">
        <f t="shared" si="9"/>
        <v>67.59627035583958</v>
      </c>
    </row>
    <row r="88" spans="1:33" ht="81" customHeight="1">
      <c r="A88" s="11"/>
      <c r="B88" s="22" t="s">
        <v>79</v>
      </c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43">
        <f t="shared" si="12"/>
        <v>30000</v>
      </c>
      <c r="AC88" s="20">
        <v>30000</v>
      </c>
      <c r="AD88" s="76"/>
      <c r="AE88" s="20"/>
      <c r="AF88" s="123"/>
      <c r="AG88" s="158">
        <f t="shared" si="9"/>
        <v>0</v>
      </c>
    </row>
    <row r="89" spans="1:33" ht="18" customHeight="1">
      <c r="A89" s="11"/>
      <c r="B89" s="22" t="s">
        <v>173</v>
      </c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145">
        <f>AD89</f>
        <v>700000</v>
      </c>
      <c r="AC89" s="20"/>
      <c r="AD89" s="18">
        <v>700000</v>
      </c>
      <c r="AE89" s="77">
        <v>700000</v>
      </c>
      <c r="AF89" s="146">
        <v>352018.04</v>
      </c>
      <c r="AG89" s="158">
        <f t="shared" si="9"/>
        <v>50.288291428571426</v>
      </c>
    </row>
    <row r="90" spans="1:33" ht="36" customHeight="1">
      <c r="A90" s="27" t="s">
        <v>126</v>
      </c>
      <c r="B90" s="21" t="s">
        <v>12</v>
      </c>
      <c r="C90" s="19">
        <f aca="true" t="shared" si="13" ref="C90:AA90">SUM(C91:C91)</f>
        <v>130000</v>
      </c>
      <c r="D90" s="19">
        <f t="shared" si="13"/>
        <v>130000</v>
      </c>
      <c r="E90" s="19">
        <f t="shared" si="13"/>
        <v>130000</v>
      </c>
      <c r="F90" s="19">
        <f t="shared" si="13"/>
        <v>130000</v>
      </c>
      <c r="G90" s="19">
        <f t="shared" si="13"/>
        <v>130000</v>
      </c>
      <c r="H90" s="19">
        <f t="shared" si="13"/>
        <v>130000</v>
      </c>
      <c r="I90" s="19">
        <f t="shared" si="13"/>
        <v>130000</v>
      </c>
      <c r="J90" s="19">
        <f t="shared" si="13"/>
        <v>130000</v>
      </c>
      <c r="K90" s="19">
        <f t="shared" si="13"/>
        <v>130000</v>
      </c>
      <c r="L90" s="19">
        <f t="shared" si="13"/>
        <v>130000</v>
      </c>
      <c r="M90" s="19">
        <f t="shared" si="13"/>
        <v>130000</v>
      </c>
      <c r="N90" s="19">
        <f t="shared" si="13"/>
        <v>130000</v>
      </c>
      <c r="O90" s="19">
        <f t="shared" si="13"/>
        <v>130000</v>
      </c>
      <c r="P90" s="19">
        <f t="shared" si="13"/>
        <v>130000</v>
      </c>
      <c r="Q90" s="19">
        <f t="shared" si="13"/>
        <v>130000</v>
      </c>
      <c r="R90" s="19">
        <f t="shared" si="13"/>
        <v>130000</v>
      </c>
      <c r="S90" s="19">
        <f t="shared" si="13"/>
        <v>130000</v>
      </c>
      <c r="T90" s="19">
        <f t="shared" si="13"/>
        <v>130000</v>
      </c>
      <c r="U90" s="19">
        <f t="shared" si="13"/>
        <v>130000</v>
      </c>
      <c r="V90" s="19">
        <f t="shared" si="13"/>
        <v>130000</v>
      </c>
      <c r="W90" s="19">
        <f t="shared" si="13"/>
        <v>130000</v>
      </c>
      <c r="X90" s="19">
        <f t="shared" si="13"/>
        <v>130000</v>
      </c>
      <c r="Y90" s="19">
        <f t="shared" si="13"/>
        <v>130000</v>
      </c>
      <c r="Z90" s="19">
        <f t="shared" si="13"/>
        <v>130000</v>
      </c>
      <c r="AA90" s="19">
        <f t="shared" si="13"/>
        <v>130000</v>
      </c>
      <c r="AB90" s="19">
        <f t="shared" si="12"/>
        <v>130000</v>
      </c>
      <c r="AC90" s="19">
        <f>SUM(AC91:AC91)</f>
        <v>130000</v>
      </c>
      <c r="AD90" s="14"/>
      <c r="AE90" s="40"/>
      <c r="AF90" s="37"/>
      <c r="AG90" s="122">
        <f t="shared" si="9"/>
        <v>0</v>
      </c>
    </row>
    <row r="91" spans="1:33" ht="27" customHeight="1">
      <c r="A91" s="11"/>
      <c r="B91" s="26" t="s">
        <v>13</v>
      </c>
      <c r="C91" s="20">
        <v>130000</v>
      </c>
      <c r="D91" s="20">
        <v>130000</v>
      </c>
      <c r="E91" s="20">
        <v>130000</v>
      </c>
      <c r="F91" s="20">
        <v>130000</v>
      </c>
      <c r="G91" s="20">
        <v>130000</v>
      </c>
      <c r="H91" s="20">
        <v>130000</v>
      </c>
      <c r="I91" s="20">
        <v>130000</v>
      </c>
      <c r="J91" s="20">
        <v>130000</v>
      </c>
      <c r="K91" s="20">
        <v>130000</v>
      </c>
      <c r="L91" s="20">
        <v>130000</v>
      </c>
      <c r="M91" s="20">
        <v>130000</v>
      </c>
      <c r="N91" s="20">
        <v>130000</v>
      </c>
      <c r="O91" s="20">
        <v>130000</v>
      </c>
      <c r="P91" s="20">
        <v>130000</v>
      </c>
      <c r="Q91" s="20">
        <v>130000</v>
      </c>
      <c r="R91" s="20">
        <v>130000</v>
      </c>
      <c r="S91" s="20">
        <v>130000</v>
      </c>
      <c r="T91" s="20">
        <v>130000</v>
      </c>
      <c r="U91" s="20">
        <v>130000</v>
      </c>
      <c r="V91" s="20">
        <v>130000</v>
      </c>
      <c r="W91" s="20">
        <v>130000</v>
      </c>
      <c r="X91" s="20">
        <v>130000</v>
      </c>
      <c r="Y91" s="20">
        <v>130000</v>
      </c>
      <c r="Z91" s="20">
        <v>130000</v>
      </c>
      <c r="AA91" s="20">
        <v>130000</v>
      </c>
      <c r="AB91" s="20">
        <f t="shared" si="12"/>
        <v>130000</v>
      </c>
      <c r="AC91" s="20">
        <v>130000</v>
      </c>
      <c r="AD91" s="20"/>
      <c r="AE91" s="37"/>
      <c r="AF91" s="37"/>
      <c r="AG91" s="158">
        <f t="shared" si="9"/>
        <v>0</v>
      </c>
    </row>
    <row r="92" spans="1:33" ht="30.75" customHeight="1">
      <c r="A92" s="27" t="s">
        <v>127</v>
      </c>
      <c r="B92" s="21" t="s">
        <v>26</v>
      </c>
      <c r="C92" s="19">
        <f aca="true" t="shared" si="14" ref="C92:AA92">SUM(C93:C94)</f>
        <v>1410029</v>
      </c>
      <c r="D92" s="19">
        <f t="shared" si="14"/>
        <v>1410029</v>
      </c>
      <c r="E92" s="19">
        <f t="shared" si="14"/>
        <v>1410029</v>
      </c>
      <c r="F92" s="19">
        <f t="shared" si="14"/>
        <v>1410029</v>
      </c>
      <c r="G92" s="19">
        <f t="shared" si="14"/>
        <v>1410029</v>
      </c>
      <c r="H92" s="19">
        <f t="shared" si="14"/>
        <v>1410029</v>
      </c>
      <c r="I92" s="19">
        <f t="shared" si="14"/>
        <v>1410029</v>
      </c>
      <c r="J92" s="19">
        <f t="shared" si="14"/>
        <v>1410029</v>
      </c>
      <c r="K92" s="19">
        <f t="shared" si="14"/>
        <v>1410029</v>
      </c>
      <c r="L92" s="19">
        <f t="shared" si="14"/>
        <v>1410029</v>
      </c>
      <c r="M92" s="19">
        <f t="shared" si="14"/>
        <v>1410029</v>
      </c>
      <c r="N92" s="19">
        <f t="shared" si="14"/>
        <v>1410029</v>
      </c>
      <c r="O92" s="19">
        <f t="shared" si="14"/>
        <v>1410029</v>
      </c>
      <c r="P92" s="19">
        <f t="shared" si="14"/>
        <v>1410029</v>
      </c>
      <c r="Q92" s="19">
        <f t="shared" si="14"/>
        <v>1410029</v>
      </c>
      <c r="R92" s="19">
        <f t="shared" si="14"/>
        <v>1410029</v>
      </c>
      <c r="S92" s="19">
        <f t="shared" si="14"/>
        <v>1410029</v>
      </c>
      <c r="T92" s="19">
        <f t="shared" si="14"/>
        <v>1410029</v>
      </c>
      <c r="U92" s="19">
        <f t="shared" si="14"/>
        <v>1410029</v>
      </c>
      <c r="V92" s="19">
        <f t="shared" si="14"/>
        <v>1410029</v>
      </c>
      <c r="W92" s="19">
        <f t="shared" si="14"/>
        <v>1410029</v>
      </c>
      <c r="X92" s="19">
        <f t="shared" si="14"/>
        <v>1410029</v>
      </c>
      <c r="Y92" s="19">
        <f t="shared" si="14"/>
        <v>1410029</v>
      </c>
      <c r="Z92" s="19">
        <f t="shared" si="14"/>
        <v>1410029</v>
      </c>
      <c r="AA92" s="19">
        <f t="shared" si="14"/>
        <v>1410029</v>
      </c>
      <c r="AB92" s="19">
        <f t="shared" si="12"/>
        <v>2210029</v>
      </c>
      <c r="AC92" s="19">
        <f>SUM(AC93:AC94)</f>
        <v>2210029</v>
      </c>
      <c r="AD92" s="15"/>
      <c r="AE92" s="40"/>
      <c r="AF92" s="23">
        <f>SUM(AF93:AF94)</f>
        <v>1255092.9200000002</v>
      </c>
      <c r="AG92" s="158">
        <f t="shared" si="9"/>
        <v>56.79078962312259</v>
      </c>
    </row>
    <row r="93" spans="1:33" ht="13.5">
      <c r="A93" s="27"/>
      <c r="B93" s="22" t="s">
        <v>22</v>
      </c>
      <c r="C93" s="20">
        <v>1410029</v>
      </c>
      <c r="D93" s="20">
        <v>1410029</v>
      </c>
      <c r="E93" s="20">
        <v>1410029</v>
      </c>
      <c r="F93" s="20">
        <v>1410029</v>
      </c>
      <c r="G93" s="20">
        <v>1410029</v>
      </c>
      <c r="H93" s="20">
        <v>1410029</v>
      </c>
      <c r="I93" s="20">
        <v>1410029</v>
      </c>
      <c r="J93" s="20">
        <v>1410029</v>
      </c>
      <c r="K93" s="20">
        <v>1410029</v>
      </c>
      <c r="L93" s="20">
        <v>1410029</v>
      </c>
      <c r="M93" s="20">
        <v>1410029</v>
      </c>
      <c r="N93" s="20">
        <v>1410029</v>
      </c>
      <c r="O93" s="20">
        <v>1410029</v>
      </c>
      <c r="P93" s="20">
        <v>1410029</v>
      </c>
      <c r="Q93" s="20">
        <v>1410029</v>
      </c>
      <c r="R93" s="20">
        <v>1410029</v>
      </c>
      <c r="S93" s="20">
        <v>1410029</v>
      </c>
      <c r="T93" s="20">
        <v>1410029</v>
      </c>
      <c r="U93" s="20">
        <v>1410029</v>
      </c>
      <c r="V93" s="20">
        <v>1410029</v>
      </c>
      <c r="W93" s="20">
        <v>1410029</v>
      </c>
      <c r="X93" s="20">
        <v>1410029</v>
      </c>
      <c r="Y93" s="20">
        <v>1410029</v>
      </c>
      <c r="Z93" s="20">
        <v>1410029</v>
      </c>
      <c r="AA93" s="20">
        <v>1410029</v>
      </c>
      <c r="AB93" s="20">
        <f t="shared" si="12"/>
        <v>2110029</v>
      </c>
      <c r="AC93" s="20">
        <f>1410029+700000</f>
        <v>2110029</v>
      </c>
      <c r="AD93" s="20"/>
      <c r="AE93" s="37"/>
      <c r="AF93" s="124">
        <f>598673.81+461491.26+118552.34+62088.55</f>
        <v>1240805.9600000002</v>
      </c>
      <c r="AG93" s="158">
        <f t="shared" si="9"/>
        <v>58.80516144564839</v>
      </c>
    </row>
    <row r="94" spans="1:33" ht="13.5">
      <c r="A94" s="27"/>
      <c r="B94" s="26" t="s">
        <v>2</v>
      </c>
      <c r="AB94" s="20">
        <f t="shared" si="12"/>
        <v>100000</v>
      </c>
      <c r="AC94" s="20">
        <v>100000</v>
      </c>
      <c r="AD94" s="20"/>
      <c r="AE94" s="37"/>
      <c r="AF94" s="124">
        <f>1533.37+3783.47+2147.3+4585.69+1619.99+617.14</f>
        <v>14286.96</v>
      </c>
      <c r="AG94" s="158">
        <f t="shared" si="9"/>
        <v>14.286959999999999</v>
      </c>
    </row>
    <row r="95" spans="1:33" ht="13.5">
      <c r="A95" s="27" t="s">
        <v>128</v>
      </c>
      <c r="B95" s="21" t="s">
        <v>3</v>
      </c>
      <c r="C95" s="23">
        <v>230000</v>
      </c>
      <c r="D95" s="23">
        <v>230000</v>
      </c>
      <c r="E95" s="23">
        <v>230000</v>
      </c>
      <c r="F95" s="23">
        <v>230000</v>
      </c>
      <c r="G95" s="23">
        <v>230000</v>
      </c>
      <c r="H95" s="23">
        <v>230000</v>
      </c>
      <c r="I95" s="23">
        <v>230000</v>
      </c>
      <c r="J95" s="23">
        <v>230000</v>
      </c>
      <c r="K95" s="23">
        <v>230000</v>
      </c>
      <c r="L95" s="23">
        <v>230000</v>
      </c>
      <c r="M95" s="23">
        <v>230000</v>
      </c>
      <c r="N95" s="23">
        <v>230000</v>
      </c>
      <c r="O95" s="23">
        <v>230000</v>
      </c>
      <c r="P95" s="23">
        <v>230000</v>
      </c>
      <c r="Q95" s="23">
        <v>230000</v>
      </c>
      <c r="R95" s="23">
        <v>230000</v>
      </c>
      <c r="S95" s="23">
        <v>230000</v>
      </c>
      <c r="T95" s="23">
        <v>230000</v>
      </c>
      <c r="U95" s="23">
        <v>230000</v>
      </c>
      <c r="V95" s="23">
        <v>230000</v>
      </c>
      <c r="W95" s="23">
        <v>230000</v>
      </c>
      <c r="X95" s="23">
        <v>230000</v>
      </c>
      <c r="Y95" s="23">
        <v>230000</v>
      </c>
      <c r="Z95" s="23">
        <v>230000</v>
      </c>
      <c r="AA95" s="23">
        <v>230000</v>
      </c>
      <c r="AB95" s="23">
        <f t="shared" si="12"/>
        <v>230000</v>
      </c>
      <c r="AC95" s="23">
        <v>230000</v>
      </c>
      <c r="AD95" s="46"/>
      <c r="AE95" s="23"/>
      <c r="AF95" s="125">
        <f>13200+29766</f>
        <v>42966</v>
      </c>
      <c r="AG95" s="119">
        <f t="shared" si="9"/>
        <v>18.680869565217392</v>
      </c>
    </row>
    <row r="96" spans="1:33" ht="13.5">
      <c r="A96" s="27" t="s">
        <v>129</v>
      </c>
      <c r="B96" s="21" t="s">
        <v>14</v>
      </c>
      <c r="C96" s="23">
        <f aca="true" t="shared" si="15" ref="C96:AA96">SUM(C97:C98)</f>
        <v>118453</v>
      </c>
      <c r="D96" s="23">
        <f t="shared" si="15"/>
        <v>118453</v>
      </c>
      <c r="E96" s="23">
        <f t="shared" si="15"/>
        <v>118453</v>
      </c>
      <c r="F96" s="23">
        <f t="shared" si="15"/>
        <v>118453</v>
      </c>
      <c r="G96" s="23">
        <f t="shared" si="15"/>
        <v>118453</v>
      </c>
      <c r="H96" s="23">
        <f t="shared" si="15"/>
        <v>118453</v>
      </c>
      <c r="I96" s="23">
        <f t="shared" si="15"/>
        <v>118453</v>
      </c>
      <c r="J96" s="23">
        <f t="shared" si="15"/>
        <v>118453</v>
      </c>
      <c r="K96" s="23">
        <f t="shared" si="15"/>
        <v>118453</v>
      </c>
      <c r="L96" s="23">
        <f t="shared" si="15"/>
        <v>118453</v>
      </c>
      <c r="M96" s="23">
        <f t="shared" si="15"/>
        <v>118453</v>
      </c>
      <c r="N96" s="23">
        <f t="shared" si="15"/>
        <v>118453</v>
      </c>
      <c r="O96" s="23">
        <f t="shared" si="15"/>
        <v>118453</v>
      </c>
      <c r="P96" s="23">
        <f t="shared" si="15"/>
        <v>118453</v>
      </c>
      <c r="Q96" s="23">
        <f t="shared" si="15"/>
        <v>118453</v>
      </c>
      <c r="R96" s="23">
        <f t="shared" si="15"/>
        <v>118453</v>
      </c>
      <c r="S96" s="23">
        <f t="shared" si="15"/>
        <v>118453</v>
      </c>
      <c r="T96" s="23">
        <f t="shared" si="15"/>
        <v>118453</v>
      </c>
      <c r="U96" s="23">
        <f t="shared" si="15"/>
        <v>118453</v>
      </c>
      <c r="V96" s="23">
        <f t="shared" si="15"/>
        <v>118453</v>
      </c>
      <c r="W96" s="23">
        <f t="shared" si="15"/>
        <v>118453</v>
      </c>
      <c r="X96" s="23">
        <f t="shared" si="15"/>
        <v>118453</v>
      </c>
      <c r="Y96" s="23">
        <f t="shared" si="15"/>
        <v>118453</v>
      </c>
      <c r="Z96" s="23">
        <f t="shared" si="15"/>
        <v>118453</v>
      </c>
      <c r="AA96" s="23">
        <f t="shared" si="15"/>
        <v>118453</v>
      </c>
      <c r="AB96" s="23">
        <f t="shared" si="12"/>
        <v>118453</v>
      </c>
      <c r="AC96" s="23">
        <f>SUM(AC97:AC98)</f>
        <v>118453</v>
      </c>
      <c r="AD96" s="19"/>
      <c r="AE96" s="68"/>
      <c r="AF96" s="23">
        <f>AF97+AF98</f>
        <v>31436.5</v>
      </c>
      <c r="AG96" s="122">
        <f t="shared" si="9"/>
        <v>26.539218086498444</v>
      </c>
    </row>
    <row r="97" spans="1:33" ht="13.5">
      <c r="A97" s="27"/>
      <c r="B97" s="26" t="s">
        <v>4</v>
      </c>
      <c r="C97" s="20">
        <v>111630</v>
      </c>
      <c r="D97" s="20">
        <v>111630</v>
      </c>
      <c r="E97" s="20">
        <v>111630</v>
      </c>
      <c r="F97" s="20">
        <v>111630</v>
      </c>
      <c r="G97" s="20">
        <v>111630</v>
      </c>
      <c r="H97" s="20">
        <v>111630</v>
      </c>
      <c r="I97" s="20">
        <v>111630</v>
      </c>
      <c r="J97" s="20">
        <v>111630</v>
      </c>
      <c r="K97" s="20">
        <v>111630</v>
      </c>
      <c r="L97" s="20">
        <v>111630</v>
      </c>
      <c r="M97" s="20">
        <v>111630</v>
      </c>
      <c r="N97" s="20">
        <v>111630</v>
      </c>
      <c r="O97" s="20">
        <v>111630</v>
      </c>
      <c r="P97" s="20">
        <v>111630</v>
      </c>
      <c r="Q97" s="20">
        <v>111630</v>
      </c>
      <c r="R97" s="20">
        <v>111630</v>
      </c>
      <c r="S97" s="20">
        <v>111630</v>
      </c>
      <c r="T97" s="20">
        <v>111630</v>
      </c>
      <c r="U97" s="20">
        <v>111630</v>
      </c>
      <c r="V97" s="20">
        <v>111630</v>
      </c>
      <c r="W97" s="20">
        <v>111630</v>
      </c>
      <c r="X97" s="20">
        <v>111630</v>
      </c>
      <c r="Y97" s="20">
        <v>111630</v>
      </c>
      <c r="Z97" s="20">
        <v>111630</v>
      </c>
      <c r="AA97" s="20">
        <v>111630</v>
      </c>
      <c r="AB97" s="20">
        <f t="shared" si="12"/>
        <v>111630</v>
      </c>
      <c r="AC97" s="20">
        <v>111630</v>
      </c>
      <c r="AD97" s="20"/>
      <c r="AE97" s="37"/>
      <c r="AF97" s="42">
        <f>9992.52+20398</f>
        <v>30390.52</v>
      </c>
      <c r="AG97" s="158">
        <f t="shared" si="9"/>
        <v>27.224330377138763</v>
      </c>
    </row>
    <row r="98" spans="1:33" ht="27.75" customHeight="1">
      <c r="A98" s="27"/>
      <c r="B98" s="26" t="s">
        <v>23</v>
      </c>
      <c r="C98" s="20">
        <v>6823</v>
      </c>
      <c r="D98" s="20">
        <v>6823</v>
      </c>
      <c r="E98" s="20">
        <v>6823</v>
      </c>
      <c r="F98" s="20">
        <v>6823</v>
      </c>
      <c r="G98" s="20">
        <v>6823</v>
      </c>
      <c r="H98" s="20">
        <v>6823</v>
      </c>
      <c r="I98" s="20">
        <v>6823</v>
      </c>
      <c r="J98" s="20">
        <v>6823</v>
      </c>
      <c r="K98" s="20">
        <v>6823</v>
      </c>
      <c r="L98" s="20">
        <v>6823</v>
      </c>
      <c r="M98" s="20">
        <v>6823</v>
      </c>
      <c r="N98" s="20">
        <v>6823</v>
      </c>
      <c r="O98" s="20">
        <v>6823</v>
      </c>
      <c r="P98" s="20">
        <v>6823</v>
      </c>
      <c r="Q98" s="20">
        <v>6823</v>
      </c>
      <c r="R98" s="20">
        <v>6823</v>
      </c>
      <c r="S98" s="20">
        <v>6823</v>
      </c>
      <c r="T98" s="20">
        <v>6823</v>
      </c>
      <c r="U98" s="20">
        <v>6823</v>
      </c>
      <c r="V98" s="20">
        <v>6823</v>
      </c>
      <c r="W98" s="20">
        <v>6823</v>
      </c>
      <c r="X98" s="20">
        <v>6823</v>
      </c>
      <c r="Y98" s="20">
        <v>6823</v>
      </c>
      <c r="Z98" s="20">
        <v>6823</v>
      </c>
      <c r="AA98" s="20">
        <v>6823</v>
      </c>
      <c r="AB98" s="20">
        <f t="shared" si="12"/>
        <v>6823</v>
      </c>
      <c r="AC98" s="20">
        <v>6823</v>
      </c>
      <c r="AD98" s="20"/>
      <c r="AE98" s="37"/>
      <c r="AF98" s="42">
        <f>321.84+724.14</f>
        <v>1045.98</v>
      </c>
      <c r="AG98" s="158">
        <f t="shared" si="9"/>
        <v>15.330206653964531</v>
      </c>
    </row>
    <row r="99" spans="1:33" ht="13.5">
      <c r="A99" s="27" t="s">
        <v>130</v>
      </c>
      <c r="B99" s="21" t="s">
        <v>5</v>
      </c>
      <c r="C99" s="23">
        <f aca="true" t="shared" si="16" ref="C99:AA99">SUM(C100:C101)</f>
        <v>2626</v>
      </c>
      <c r="D99" s="23">
        <f t="shared" si="16"/>
        <v>2626</v>
      </c>
      <c r="E99" s="23">
        <f t="shared" si="16"/>
        <v>2626</v>
      </c>
      <c r="F99" s="23">
        <f t="shared" si="16"/>
        <v>2626</v>
      </c>
      <c r="G99" s="23">
        <f t="shared" si="16"/>
        <v>2626</v>
      </c>
      <c r="H99" s="23">
        <f t="shared" si="16"/>
        <v>2626</v>
      </c>
      <c r="I99" s="23">
        <f t="shared" si="16"/>
        <v>2626</v>
      </c>
      <c r="J99" s="23">
        <f t="shared" si="16"/>
        <v>2626</v>
      </c>
      <c r="K99" s="23">
        <f t="shared" si="16"/>
        <v>2626</v>
      </c>
      <c r="L99" s="23">
        <f t="shared" si="16"/>
        <v>2626</v>
      </c>
      <c r="M99" s="23">
        <f t="shared" si="16"/>
        <v>2626</v>
      </c>
      <c r="N99" s="23">
        <f t="shared" si="16"/>
        <v>2626</v>
      </c>
      <c r="O99" s="23">
        <f t="shared" si="16"/>
        <v>2626</v>
      </c>
      <c r="P99" s="23">
        <f t="shared" si="16"/>
        <v>2626</v>
      </c>
      <c r="Q99" s="23">
        <f t="shared" si="16"/>
        <v>2626</v>
      </c>
      <c r="R99" s="23">
        <f t="shared" si="16"/>
        <v>2626</v>
      </c>
      <c r="S99" s="23">
        <f t="shared" si="16"/>
        <v>2626</v>
      </c>
      <c r="T99" s="23">
        <f t="shared" si="16"/>
        <v>2626</v>
      </c>
      <c r="U99" s="23">
        <f t="shared" si="16"/>
        <v>2626</v>
      </c>
      <c r="V99" s="23">
        <f t="shared" si="16"/>
        <v>2626</v>
      </c>
      <c r="W99" s="23">
        <f t="shared" si="16"/>
        <v>2626</v>
      </c>
      <c r="X99" s="23">
        <f t="shared" si="16"/>
        <v>2626</v>
      </c>
      <c r="Y99" s="23">
        <f t="shared" si="16"/>
        <v>2626</v>
      </c>
      <c r="Z99" s="23">
        <f t="shared" si="16"/>
        <v>2626</v>
      </c>
      <c r="AA99" s="23">
        <f t="shared" si="16"/>
        <v>2626</v>
      </c>
      <c r="AB99" s="23">
        <f t="shared" si="12"/>
        <v>2626</v>
      </c>
      <c r="AC99" s="23">
        <f>SUM(AC100:AC101)</f>
        <v>2626</v>
      </c>
      <c r="AD99" s="20"/>
      <c r="AE99" s="37"/>
      <c r="AF99" s="23">
        <f>AF100+AF101</f>
        <v>694.8100000000001</v>
      </c>
      <c r="AG99" s="122">
        <f t="shared" si="9"/>
        <v>26.45887281035796</v>
      </c>
    </row>
    <row r="100" spans="1:33" ht="13.5">
      <c r="A100" s="11"/>
      <c r="B100" s="26" t="s">
        <v>6</v>
      </c>
      <c r="C100" s="20">
        <v>2474</v>
      </c>
      <c r="D100" s="20">
        <v>2474</v>
      </c>
      <c r="E100" s="20">
        <v>2474</v>
      </c>
      <c r="F100" s="20">
        <v>2474</v>
      </c>
      <c r="G100" s="20">
        <v>2474</v>
      </c>
      <c r="H100" s="20">
        <v>2474</v>
      </c>
      <c r="I100" s="20">
        <v>2474</v>
      </c>
      <c r="J100" s="20">
        <v>2474</v>
      </c>
      <c r="K100" s="20">
        <v>2474</v>
      </c>
      <c r="L100" s="20">
        <v>2474</v>
      </c>
      <c r="M100" s="20">
        <v>2474</v>
      </c>
      <c r="N100" s="20">
        <v>2474</v>
      </c>
      <c r="O100" s="20">
        <v>2474</v>
      </c>
      <c r="P100" s="20">
        <v>2474</v>
      </c>
      <c r="Q100" s="20">
        <v>2474</v>
      </c>
      <c r="R100" s="20">
        <v>2474</v>
      </c>
      <c r="S100" s="20">
        <v>2474</v>
      </c>
      <c r="T100" s="20">
        <v>2474</v>
      </c>
      <c r="U100" s="20">
        <v>2474</v>
      </c>
      <c r="V100" s="20">
        <v>2474</v>
      </c>
      <c r="W100" s="20">
        <v>2474</v>
      </c>
      <c r="X100" s="20">
        <v>2474</v>
      </c>
      <c r="Y100" s="20">
        <v>2474</v>
      </c>
      <c r="Z100" s="20">
        <v>2474</v>
      </c>
      <c r="AA100" s="20">
        <v>2474</v>
      </c>
      <c r="AB100" s="20">
        <f t="shared" si="12"/>
        <v>2474</v>
      </c>
      <c r="AC100" s="20">
        <v>2474</v>
      </c>
      <c r="AD100" s="20"/>
      <c r="AE100" s="37"/>
      <c r="AF100" s="191">
        <v>622.33</v>
      </c>
      <c r="AG100" s="158">
        <f t="shared" si="9"/>
        <v>25.15481002425222</v>
      </c>
    </row>
    <row r="101" spans="1:33" ht="13.5">
      <c r="A101" s="11"/>
      <c r="B101" s="26" t="s">
        <v>24</v>
      </c>
      <c r="C101" s="20">
        <v>152</v>
      </c>
      <c r="D101" s="20">
        <v>152</v>
      </c>
      <c r="E101" s="20">
        <v>152</v>
      </c>
      <c r="F101" s="20">
        <v>152</v>
      </c>
      <c r="G101" s="20">
        <v>152</v>
      </c>
      <c r="H101" s="20">
        <v>152</v>
      </c>
      <c r="I101" s="20">
        <v>152</v>
      </c>
      <c r="J101" s="20">
        <v>152</v>
      </c>
      <c r="K101" s="20">
        <v>152</v>
      </c>
      <c r="L101" s="20">
        <v>152</v>
      </c>
      <c r="M101" s="20">
        <v>152</v>
      </c>
      <c r="N101" s="20">
        <v>152</v>
      </c>
      <c r="O101" s="20">
        <v>152</v>
      </c>
      <c r="P101" s="20">
        <v>152</v>
      </c>
      <c r="Q101" s="20">
        <v>152</v>
      </c>
      <c r="R101" s="20">
        <v>152</v>
      </c>
      <c r="S101" s="20">
        <v>152</v>
      </c>
      <c r="T101" s="20">
        <v>152</v>
      </c>
      <c r="U101" s="20">
        <v>152</v>
      </c>
      <c r="V101" s="20">
        <v>152</v>
      </c>
      <c r="W101" s="20">
        <v>152</v>
      </c>
      <c r="X101" s="20">
        <v>152</v>
      </c>
      <c r="Y101" s="20">
        <v>152</v>
      </c>
      <c r="Z101" s="20">
        <v>152</v>
      </c>
      <c r="AA101" s="20">
        <v>152</v>
      </c>
      <c r="AB101" s="20">
        <f t="shared" si="12"/>
        <v>152</v>
      </c>
      <c r="AC101" s="20">
        <v>152</v>
      </c>
      <c r="AD101" s="20"/>
      <c r="AE101" s="37"/>
      <c r="AF101" s="191">
        <v>72.48</v>
      </c>
      <c r="AG101" s="158">
        <f t="shared" si="9"/>
        <v>47.68421052631579</v>
      </c>
    </row>
    <row r="102" spans="1:33" s="3" customFormat="1" ht="35.25" customHeight="1">
      <c r="A102" s="28" t="s">
        <v>73</v>
      </c>
      <c r="B102" s="24" t="s">
        <v>48</v>
      </c>
      <c r="C102" s="25">
        <f aca="true" t="shared" si="17" ref="C102:AA102">C103</f>
        <v>35280</v>
      </c>
      <c r="D102" s="25">
        <f t="shared" si="17"/>
        <v>35280</v>
      </c>
      <c r="E102" s="25">
        <f t="shared" si="17"/>
        <v>35280</v>
      </c>
      <c r="F102" s="25">
        <f t="shared" si="17"/>
        <v>35280</v>
      </c>
      <c r="G102" s="25">
        <f t="shared" si="17"/>
        <v>35280</v>
      </c>
      <c r="H102" s="25">
        <f t="shared" si="17"/>
        <v>35280</v>
      </c>
      <c r="I102" s="25">
        <f t="shared" si="17"/>
        <v>35280</v>
      </c>
      <c r="J102" s="25">
        <f t="shared" si="17"/>
        <v>35280</v>
      </c>
      <c r="K102" s="25">
        <f t="shared" si="17"/>
        <v>35280</v>
      </c>
      <c r="L102" s="25">
        <f t="shared" si="17"/>
        <v>35280</v>
      </c>
      <c r="M102" s="25">
        <f t="shared" si="17"/>
        <v>35280</v>
      </c>
      <c r="N102" s="25">
        <f t="shared" si="17"/>
        <v>35280</v>
      </c>
      <c r="O102" s="25">
        <f t="shared" si="17"/>
        <v>35280</v>
      </c>
      <c r="P102" s="25">
        <f t="shared" si="17"/>
        <v>35280</v>
      </c>
      <c r="Q102" s="25">
        <f t="shared" si="17"/>
        <v>35280</v>
      </c>
      <c r="R102" s="25">
        <f t="shared" si="17"/>
        <v>35280</v>
      </c>
      <c r="S102" s="25">
        <f t="shared" si="17"/>
        <v>35280</v>
      </c>
      <c r="T102" s="25">
        <f t="shared" si="17"/>
        <v>35280</v>
      </c>
      <c r="U102" s="25">
        <f t="shared" si="17"/>
        <v>35280</v>
      </c>
      <c r="V102" s="25">
        <f t="shared" si="17"/>
        <v>35280</v>
      </c>
      <c r="W102" s="25">
        <f t="shared" si="17"/>
        <v>35280</v>
      </c>
      <c r="X102" s="25">
        <f t="shared" si="17"/>
        <v>35280</v>
      </c>
      <c r="Y102" s="25">
        <f t="shared" si="17"/>
        <v>35280</v>
      </c>
      <c r="Z102" s="25">
        <f t="shared" si="17"/>
        <v>35280</v>
      </c>
      <c r="AA102" s="25">
        <f t="shared" si="17"/>
        <v>35280</v>
      </c>
      <c r="AB102" s="25">
        <f t="shared" si="12"/>
        <v>35280</v>
      </c>
      <c r="AC102" s="25">
        <f>AC103</f>
        <v>35280</v>
      </c>
      <c r="AD102" s="83"/>
      <c r="AE102" s="25"/>
      <c r="AF102" s="121"/>
      <c r="AG102" s="118">
        <f t="shared" si="9"/>
        <v>0</v>
      </c>
    </row>
    <row r="103" spans="1:33" ht="30" customHeight="1">
      <c r="A103" s="90" t="s">
        <v>104</v>
      </c>
      <c r="B103" s="91" t="s">
        <v>38</v>
      </c>
      <c r="C103" s="18">
        <v>35280</v>
      </c>
      <c r="D103" s="18">
        <v>35280</v>
      </c>
      <c r="E103" s="18">
        <v>35280</v>
      </c>
      <c r="F103" s="18">
        <v>35280</v>
      </c>
      <c r="G103" s="18">
        <v>35280</v>
      </c>
      <c r="H103" s="18">
        <v>35280</v>
      </c>
      <c r="I103" s="18">
        <v>35280</v>
      </c>
      <c r="J103" s="18">
        <v>35280</v>
      </c>
      <c r="K103" s="18">
        <v>35280</v>
      </c>
      <c r="L103" s="18">
        <v>35280</v>
      </c>
      <c r="M103" s="18">
        <v>35280</v>
      </c>
      <c r="N103" s="18">
        <v>35280</v>
      </c>
      <c r="O103" s="18">
        <v>35280</v>
      </c>
      <c r="P103" s="18">
        <v>35280</v>
      </c>
      <c r="Q103" s="18">
        <v>35280</v>
      </c>
      <c r="R103" s="18">
        <v>35280</v>
      </c>
      <c r="S103" s="18">
        <v>35280</v>
      </c>
      <c r="T103" s="18">
        <v>35280</v>
      </c>
      <c r="U103" s="18">
        <v>35280</v>
      </c>
      <c r="V103" s="18">
        <v>35280</v>
      </c>
      <c r="W103" s="18">
        <v>35280</v>
      </c>
      <c r="X103" s="18">
        <v>35280</v>
      </c>
      <c r="Y103" s="18">
        <v>35280</v>
      </c>
      <c r="Z103" s="18">
        <v>35280</v>
      </c>
      <c r="AA103" s="18">
        <v>35280</v>
      </c>
      <c r="AB103" s="58">
        <f t="shared" si="12"/>
        <v>35280</v>
      </c>
      <c r="AC103" s="58">
        <v>35280</v>
      </c>
      <c r="AD103" s="19"/>
      <c r="AE103" s="58"/>
      <c r="AF103" s="37"/>
      <c r="AG103" s="119">
        <f t="shared" si="9"/>
        <v>0</v>
      </c>
    </row>
    <row r="104" spans="1:33" s="3" customFormat="1" ht="30">
      <c r="A104" s="28" t="s">
        <v>105</v>
      </c>
      <c r="B104" s="24" t="s">
        <v>0</v>
      </c>
      <c r="C104" s="25">
        <f aca="true" t="shared" si="18" ref="C104:AA104">SUM(C106:C107)</f>
        <v>893820</v>
      </c>
      <c r="D104" s="25">
        <f t="shared" si="18"/>
        <v>893820</v>
      </c>
      <c r="E104" s="25">
        <f t="shared" si="18"/>
        <v>893820</v>
      </c>
      <c r="F104" s="25">
        <f t="shared" si="18"/>
        <v>893820</v>
      </c>
      <c r="G104" s="25">
        <f t="shared" si="18"/>
        <v>893820</v>
      </c>
      <c r="H104" s="25">
        <f t="shared" si="18"/>
        <v>893820</v>
      </c>
      <c r="I104" s="25">
        <f t="shared" si="18"/>
        <v>893820</v>
      </c>
      <c r="J104" s="25">
        <f t="shared" si="18"/>
        <v>893820</v>
      </c>
      <c r="K104" s="25">
        <f t="shared" si="18"/>
        <v>893820</v>
      </c>
      <c r="L104" s="25">
        <f t="shared" si="18"/>
        <v>893820</v>
      </c>
      <c r="M104" s="25">
        <f t="shared" si="18"/>
        <v>893820</v>
      </c>
      <c r="N104" s="25">
        <f t="shared" si="18"/>
        <v>893820</v>
      </c>
      <c r="O104" s="25">
        <f t="shared" si="18"/>
        <v>893820</v>
      </c>
      <c r="P104" s="25">
        <f t="shared" si="18"/>
        <v>893820</v>
      </c>
      <c r="Q104" s="25">
        <f t="shared" si="18"/>
        <v>893820</v>
      </c>
      <c r="R104" s="25">
        <f t="shared" si="18"/>
        <v>893820</v>
      </c>
      <c r="S104" s="25">
        <f t="shared" si="18"/>
        <v>893820</v>
      </c>
      <c r="T104" s="25">
        <f t="shared" si="18"/>
        <v>893820</v>
      </c>
      <c r="U104" s="25">
        <f t="shared" si="18"/>
        <v>893820</v>
      </c>
      <c r="V104" s="25">
        <f t="shared" si="18"/>
        <v>893820</v>
      </c>
      <c r="W104" s="25">
        <f t="shared" si="18"/>
        <v>893820</v>
      </c>
      <c r="X104" s="25">
        <f t="shared" si="18"/>
        <v>893820</v>
      </c>
      <c r="Y104" s="25">
        <f t="shared" si="18"/>
        <v>893820</v>
      </c>
      <c r="Z104" s="25">
        <f t="shared" si="18"/>
        <v>893820</v>
      </c>
      <c r="AA104" s="25">
        <f t="shared" si="18"/>
        <v>893820</v>
      </c>
      <c r="AB104" s="25">
        <f>AC104+AD104</f>
        <v>4583820</v>
      </c>
      <c r="AC104" s="55">
        <f>SUM(AC106:AC107)+AC108+AC109</f>
        <v>4393820</v>
      </c>
      <c r="AD104" s="25">
        <f>AD108</f>
        <v>190000</v>
      </c>
      <c r="AE104" s="25">
        <f>AE108</f>
        <v>190000</v>
      </c>
      <c r="AF104" s="55">
        <f>SUM(AF106:AF107)</f>
        <v>342299.95</v>
      </c>
      <c r="AG104" s="118">
        <f t="shared" si="9"/>
        <v>7.467569625334329</v>
      </c>
    </row>
    <row r="105" spans="1:33" ht="13.5">
      <c r="A105" s="27" t="s">
        <v>117</v>
      </c>
      <c r="B105" s="29" t="s">
        <v>16</v>
      </c>
      <c r="C105" s="23">
        <f aca="true" t="shared" si="19" ref="C105:AA105">C106+C107</f>
        <v>893820</v>
      </c>
      <c r="D105" s="23">
        <f t="shared" si="19"/>
        <v>893820</v>
      </c>
      <c r="E105" s="23">
        <f t="shared" si="19"/>
        <v>893820</v>
      </c>
      <c r="F105" s="23">
        <f t="shared" si="19"/>
        <v>893820</v>
      </c>
      <c r="G105" s="23">
        <f t="shared" si="19"/>
        <v>893820</v>
      </c>
      <c r="H105" s="23">
        <f t="shared" si="19"/>
        <v>893820</v>
      </c>
      <c r="I105" s="23">
        <f t="shared" si="19"/>
        <v>893820</v>
      </c>
      <c r="J105" s="23">
        <f t="shared" si="19"/>
        <v>893820</v>
      </c>
      <c r="K105" s="23">
        <f t="shared" si="19"/>
        <v>893820</v>
      </c>
      <c r="L105" s="23">
        <f t="shared" si="19"/>
        <v>893820</v>
      </c>
      <c r="M105" s="23">
        <f t="shared" si="19"/>
        <v>893820</v>
      </c>
      <c r="N105" s="23">
        <f t="shared" si="19"/>
        <v>893820</v>
      </c>
      <c r="O105" s="23">
        <f t="shared" si="19"/>
        <v>893820</v>
      </c>
      <c r="P105" s="23">
        <f t="shared" si="19"/>
        <v>893820</v>
      </c>
      <c r="Q105" s="23">
        <f t="shared" si="19"/>
        <v>893820</v>
      </c>
      <c r="R105" s="23">
        <f t="shared" si="19"/>
        <v>893820</v>
      </c>
      <c r="S105" s="23">
        <f t="shared" si="19"/>
        <v>893820</v>
      </c>
      <c r="T105" s="23">
        <f t="shared" si="19"/>
        <v>893820</v>
      </c>
      <c r="U105" s="23">
        <f t="shared" si="19"/>
        <v>893820</v>
      </c>
      <c r="V105" s="23">
        <f t="shared" si="19"/>
        <v>893820</v>
      </c>
      <c r="W105" s="23">
        <f t="shared" si="19"/>
        <v>893820</v>
      </c>
      <c r="X105" s="23">
        <f t="shared" si="19"/>
        <v>893820</v>
      </c>
      <c r="Y105" s="23">
        <f t="shared" si="19"/>
        <v>893820</v>
      </c>
      <c r="Z105" s="23">
        <f t="shared" si="19"/>
        <v>893820</v>
      </c>
      <c r="AA105" s="23">
        <f t="shared" si="19"/>
        <v>893820</v>
      </c>
      <c r="AB105" s="23">
        <f>AC105+AD105+AB108</f>
        <v>1083820</v>
      </c>
      <c r="AC105" s="70">
        <f>AC106+AC107</f>
        <v>893820</v>
      </c>
      <c r="AD105" s="20"/>
      <c r="AE105" s="37"/>
      <c r="AF105" s="157">
        <f>AF106</f>
        <v>342299.95</v>
      </c>
      <c r="AG105" s="122">
        <f t="shared" si="9"/>
        <v>31.582730527209318</v>
      </c>
    </row>
    <row r="106" spans="1:33" ht="51.75">
      <c r="A106" s="10"/>
      <c r="B106" s="91" t="s">
        <v>47</v>
      </c>
      <c r="C106" s="20">
        <v>821820</v>
      </c>
      <c r="D106" s="20">
        <v>821820</v>
      </c>
      <c r="E106" s="20">
        <v>821820</v>
      </c>
      <c r="F106" s="20">
        <v>821820</v>
      </c>
      <c r="G106" s="20">
        <v>821820</v>
      </c>
      <c r="H106" s="20">
        <v>821820</v>
      </c>
      <c r="I106" s="20">
        <v>821820</v>
      </c>
      <c r="J106" s="20">
        <v>821820</v>
      </c>
      <c r="K106" s="20">
        <v>821820</v>
      </c>
      <c r="L106" s="20">
        <v>821820</v>
      </c>
      <c r="M106" s="20">
        <v>821820</v>
      </c>
      <c r="N106" s="20">
        <v>821820</v>
      </c>
      <c r="O106" s="20">
        <v>821820</v>
      </c>
      <c r="P106" s="20">
        <v>821820</v>
      </c>
      <c r="Q106" s="20">
        <v>821820</v>
      </c>
      <c r="R106" s="20">
        <v>821820</v>
      </c>
      <c r="S106" s="20">
        <v>821820</v>
      </c>
      <c r="T106" s="20">
        <v>821820</v>
      </c>
      <c r="U106" s="20">
        <v>821820</v>
      </c>
      <c r="V106" s="20">
        <v>821820</v>
      </c>
      <c r="W106" s="20">
        <v>821820</v>
      </c>
      <c r="X106" s="20">
        <v>821820</v>
      </c>
      <c r="Y106" s="20">
        <v>821820</v>
      </c>
      <c r="Z106" s="20">
        <v>821820</v>
      </c>
      <c r="AA106" s="20">
        <v>821820</v>
      </c>
      <c r="AB106" s="58">
        <f t="shared" si="12"/>
        <v>821820</v>
      </c>
      <c r="AC106" s="57">
        <v>821820</v>
      </c>
      <c r="AD106" s="20"/>
      <c r="AE106" s="37"/>
      <c r="AF106" s="126">
        <f>109655.91+23259.68+27706.63+7350+18352.85+22641.26+10396+21237.21+24907.67+7350+20122.36+21974.45+7350+19995.93</f>
        <v>342299.95</v>
      </c>
      <c r="AG106" s="119">
        <f t="shared" si="9"/>
        <v>41.65145043926894</v>
      </c>
    </row>
    <row r="107" spans="1:33" ht="25.5">
      <c r="A107" s="10"/>
      <c r="B107" s="91" t="s">
        <v>44</v>
      </c>
      <c r="C107" s="20">
        <v>72000</v>
      </c>
      <c r="D107" s="20">
        <v>72000</v>
      </c>
      <c r="E107" s="20">
        <v>72000</v>
      </c>
      <c r="F107" s="20">
        <v>72000</v>
      </c>
      <c r="G107" s="20">
        <v>72000</v>
      </c>
      <c r="H107" s="20">
        <v>72000</v>
      </c>
      <c r="I107" s="20">
        <v>72000</v>
      </c>
      <c r="J107" s="20">
        <v>72000</v>
      </c>
      <c r="K107" s="20">
        <v>72000</v>
      </c>
      <c r="L107" s="20">
        <v>72000</v>
      </c>
      <c r="M107" s="20">
        <v>72000</v>
      </c>
      <c r="N107" s="20">
        <v>72000</v>
      </c>
      <c r="O107" s="20">
        <v>72000</v>
      </c>
      <c r="P107" s="20">
        <v>72000</v>
      </c>
      <c r="Q107" s="20">
        <v>72000</v>
      </c>
      <c r="R107" s="20">
        <v>72000</v>
      </c>
      <c r="S107" s="20">
        <v>72000</v>
      </c>
      <c r="T107" s="20">
        <v>72000</v>
      </c>
      <c r="U107" s="20">
        <v>72000</v>
      </c>
      <c r="V107" s="20">
        <v>72000</v>
      </c>
      <c r="W107" s="20">
        <v>72000</v>
      </c>
      <c r="X107" s="20">
        <v>72000</v>
      </c>
      <c r="Y107" s="20">
        <v>72000</v>
      </c>
      <c r="Z107" s="20">
        <v>72000</v>
      </c>
      <c r="AA107" s="20">
        <v>72000</v>
      </c>
      <c r="AB107" s="58">
        <f t="shared" si="12"/>
        <v>72000</v>
      </c>
      <c r="AC107" s="57">
        <v>72000</v>
      </c>
      <c r="AD107" s="19"/>
      <c r="AE107" s="37"/>
      <c r="AF107" s="37"/>
      <c r="AG107" s="119">
        <f t="shared" si="9"/>
        <v>0</v>
      </c>
    </row>
    <row r="108" spans="1:33" ht="25.5">
      <c r="A108" s="10"/>
      <c r="B108" s="105" t="s">
        <v>165</v>
      </c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5"/>
      <c r="AB108" s="116">
        <f>AD108</f>
        <v>190000</v>
      </c>
      <c r="AC108" s="147"/>
      <c r="AD108" s="150">
        <f>50000+140000</f>
        <v>190000</v>
      </c>
      <c r="AE108" s="150">
        <f>AD108</f>
        <v>190000</v>
      </c>
      <c r="AF108" s="37"/>
      <c r="AG108" s="119">
        <f t="shared" si="9"/>
        <v>0</v>
      </c>
    </row>
    <row r="109" spans="1:33" ht="25.5">
      <c r="A109" s="171" t="s">
        <v>175</v>
      </c>
      <c r="B109" s="176" t="s">
        <v>176</v>
      </c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  <c r="Z109" s="115"/>
      <c r="AA109" s="115"/>
      <c r="AB109" s="148">
        <f>AC109</f>
        <v>3500000</v>
      </c>
      <c r="AC109" s="172">
        <v>3500000</v>
      </c>
      <c r="AD109" s="109"/>
      <c r="AE109" s="109"/>
      <c r="AF109" s="149"/>
      <c r="AG109" s="122">
        <f t="shared" si="9"/>
        <v>0</v>
      </c>
    </row>
    <row r="110" spans="1:33" ht="135">
      <c r="A110" s="179" t="s">
        <v>184</v>
      </c>
      <c r="B110" s="180" t="s">
        <v>188</v>
      </c>
      <c r="C110" s="181"/>
      <c r="D110" s="181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  <c r="S110" s="181"/>
      <c r="T110" s="181"/>
      <c r="U110" s="181"/>
      <c r="V110" s="181"/>
      <c r="W110" s="181"/>
      <c r="X110" s="181"/>
      <c r="Y110" s="181"/>
      <c r="Z110" s="181"/>
      <c r="AA110" s="181"/>
      <c r="AB110" s="184">
        <f>AB111+AB112</f>
        <v>3572000</v>
      </c>
      <c r="AC110" s="184">
        <f>AC111+AC112</f>
        <v>3572000</v>
      </c>
      <c r="AD110" s="185"/>
      <c r="AE110" s="185"/>
      <c r="AF110" s="187">
        <f>AF111+AF112</f>
        <v>1173546.8900000001</v>
      </c>
      <c r="AG110" s="118">
        <f>AG111+AG112</f>
        <v>65.49574783715013</v>
      </c>
    </row>
    <row r="111" spans="1:33" ht="64.5">
      <c r="A111" s="129" t="s">
        <v>131</v>
      </c>
      <c r="B111" s="183" t="s">
        <v>189</v>
      </c>
      <c r="C111" s="177"/>
      <c r="D111" s="177"/>
      <c r="E111" s="177"/>
      <c r="F111" s="177"/>
      <c r="G111" s="177"/>
      <c r="H111" s="177"/>
      <c r="I111" s="177"/>
      <c r="J111" s="177"/>
      <c r="K111" s="177"/>
      <c r="L111" s="177"/>
      <c r="M111" s="177"/>
      <c r="N111" s="177"/>
      <c r="O111" s="177"/>
      <c r="P111" s="177"/>
      <c r="Q111" s="177"/>
      <c r="R111" s="177"/>
      <c r="S111" s="177"/>
      <c r="T111" s="177"/>
      <c r="U111" s="177"/>
      <c r="V111" s="177"/>
      <c r="W111" s="177"/>
      <c r="X111" s="177"/>
      <c r="Y111" s="177"/>
      <c r="Z111" s="177"/>
      <c r="AA111" s="177"/>
      <c r="AB111" s="178">
        <f>AC111</f>
        <v>2000000</v>
      </c>
      <c r="AC111" s="57">
        <v>2000000</v>
      </c>
      <c r="AD111" s="57"/>
      <c r="AE111" s="57"/>
      <c r="AF111" s="186">
        <f>325955+346726</f>
        <v>672681</v>
      </c>
      <c r="AG111" s="122">
        <f t="shared" si="9"/>
        <v>33.63405</v>
      </c>
    </row>
    <row r="112" spans="1:33" ht="64.5">
      <c r="A112" s="129" t="s">
        <v>185</v>
      </c>
      <c r="B112" s="183" t="s">
        <v>190</v>
      </c>
      <c r="C112" s="177"/>
      <c r="D112" s="177"/>
      <c r="E112" s="177"/>
      <c r="F112" s="177"/>
      <c r="G112" s="177"/>
      <c r="H112" s="177"/>
      <c r="I112" s="177"/>
      <c r="J112" s="177"/>
      <c r="K112" s="177"/>
      <c r="L112" s="177"/>
      <c r="M112" s="177"/>
      <c r="N112" s="177"/>
      <c r="O112" s="177"/>
      <c r="P112" s="177"/>
      <c r="Q112" s="177"/>
      <c r="R112" s="177"/>
      <c r="S112" s="177"/>
      <c r="T112" s="177"/>
      <c r="U112" s="177"/>
      <c r="V112" s="177"/>
      <c r="W112" s="177"/>
      <c r="X112" s="177"/>
      <c r="Y112" s="177"/>
      <c r="Z112" s="177"/>
      <c r="AA112" s="177"/>
      <c r="AB112" s="178">
        <f>AC112</f>
        <v>1572000</v>
      </c>
      <c r="AC112" s="57">
        <v>1572000</v>
      </c>
      <c r="AD112" s="57"/>
      <c r="AE112" s="57"/>
      <c r="AF112" s="186">
        <f>148901.64+155926.52+196037.73</f>
        <v>500865.89</v>
      </c>
      <c r="AG112" s="122">
        <f t="shared" si="9"/>
        <v>31.86169783715013</v>
      </c>
    </row>
    <row r="113" spans="1:33" ht="48.75" customHeight="1">
      <c r="A113" s="28" t="s">
        <v>137</v>
      </c>
      <c r="B113" s="182" t="s">
        <v>74</v>
      </c>
      <c r="C113" s="173" t="e">
        <f>SUM(#REF!)</f>
        <v>#REF!</v>
      </c>
      <c r="D113" s="69" t="e">
        <f>SUM(#REF!)</f>
        <v>#REF!</v>
      </c>
      <c r="E113" s="69" t="e">
        <f>SUM(#REF!)</f>
        <v>#REF!</v>
      </c>
      <c r="F113" s="69" t="e">
        <f>SUM(#REF!)</f>
        <v>#REF!</v>
      </c>
      <c r="G113" s="69" t="e">
        <f>SUM(#REF!)</f>
        <v>#REF!</v>
      </c>
      <c r="H113" s="69" t="e">
        <f>SUM(#REF!)</f>
        <v>#REF!</v>
      </c>
      <c r="I113" s="69" t="e">
        <f>SUM(#REF!)</f>
        <v>#REF!</v>
      </c>
      <c r="J113" s="69" t="e">
        <f>SUM(#REF!)</f>
        <v>#REF!</v>
      </c>
      <c r="K113" s="69" t="e">
        <f>SUM(#REF!)</f>
        <v>#REF!</v>
      </c>
      <c r="L113" s="69" t="e">
        <f>SUM(#REF!)</f>
        <v>#REF!</v>
      </c>
      <c r="M113" s="69" t="e">
        <f>SUM(#REF!)</f>
        <v>#REF!</v>
      </c>
      <c r="N113" s="69" t="e">
        <f>SUM(#REF!)</f>
        <v>#REF!</v>
      </c>
      <c r="O113" s="69" t="e">
        <f>SUM(#REF!)</f>
        <v>#REF!</v>
      </c>
      <c r="P113" s="69" t="e">
        <f>SUM(#REF!)</f>
        <v>#REF!</v>
      </c>
      <c r="Q113" s="69" t="e">
        <f>SUM(#REF!)</f>
        <v>#REF!</v>
      </c>
      <c r="R113" s="69" t="e">
        <f>SUM(#REF!)</f>
        <v>#REF!</v>
      </c>
      <c r="S113" s="69" t="e">
        <f>SUM(#REF!)</f>
        <v>#REF!</v>
      </c>
      <c r="T113" s="69" t="e">
        <f>SUM(#REF!)</f>
        <v>#REF!</v>
      </c>
      <c r="U113" s="69" t="e">
        <f>SUM(#REF!)</f>
        <v>#REF!</v>
      </c>
      <c r="V113" s="69" t="e">
        <f>SUM(#REF!)</f>
        <v>#REF!</v>
      </c>
      <c r="W113" s="69" t="e">
        <f>SUM(#REF!)</f>
        <v>#REF!</v>
      </c>
      <c r="X113" s="69" t="e">
        <f>SUM(#REF!)</f>
        <v>#REF!</v>
      </c>
      <c r="Y113" s="69" t="e">
        <f>SUM(#REF!)</f>
        <v>#REF!</v>
      </c>
      <c r="Z113" s="69" t="e">
        <f>SUM(#REF!)</f>
        <v>#REF!</v>
      </c>
      <c r="AA113" s="69" t="e">
        <f>SUM(#REF!)</f>
        <v>#REF!</v>
      </c>
      <c r="AB113" s="89">
        <f>AB114+AD113</f>
        <v>16829251.08</v>
      </c>
      <c r="AC113" s="173">
        <f>AC114</f>
        <v>16829251.08</v>
      </c>
      <c r="AD113" s="161"/>
      <c r="AE113" s="69"/>
      <c r="AF113" s="160">
        <f>AF114</f>
        <v>9761914.040000001</v>
      </c>
      <c r="AG113" s="118">
        <f t="shared" si="9"/>
        <v>58.00563550686536</v>
      </c>
    </row>
    <row r="114" spans="1:33" ht="51.75">
      <c r="A114" s="113" t="s">
        <v>139</v>
      </c>
      <c r="B114" s="107" t="s">
        <v>75</v>
      </c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  <c r="AA114" s="108"/>
      <c r="AB114" s="109">
        <f>AC114+AD114</f>
        <v>16829251.08</v>
      </c>
      <c r="AC114" s="109">
        <f>829251.08+16000000</f>
        <v>16829251.08</v>
      </c>
      <c r="AD114" s="77"/>
      <c r="AE114" s="57"/>
      <c r="AF114" s="109">
        <f>9923711.13-161797.09</f>
        <v>9761914.040000001</v>
      </c>
      <c r="AG114" s="119">
        <f t="shared" si="9"/>
        <v>58.00563550686536</v>
      </c>
    </row>
    <row r="115" spans="1:33" ht="30">
      <c r="A115" s="101" t="s">
        <v>186</v>
      </c>
      <c r="B115" s="110" t="s">
        <v>138</v>
      </c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11">
        <f>AC115</f>
        <v>25000000</v>
      </c>
      <c r="AC115" s="111">
        <f>AC116</f>
        <v>25000000</v>
      </c>
      <c r="AD115" s="112"/>
      <c r="AE115" s="89"/>
      <c r="AF115" s="121"/>
      <c r="AG115" s="118">
        <f t="shared" si="9"/>
        <v>0</v>
      </c>
    </row>
    <row r="116" spans="1:33" ht="80.25" customHeight="1">
      <c r="A116" s="90" t="s">
        <v>187</v>
      </c>
      <c r="B116" s="114" t="s">
        <v>181</v>
      </c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109">
        <f>AC116+AD116</f>
        <v>25000000</v>
      </c>
      <c r="AC116" s="57">
        <v>25000000</v>
      </c>
      <c r="AD116" s="71"/>
      <c r="AE116" s="57"/>
      <c r="AF116" s="37"/>
      <c r="AG116" s="119">
        <f t="shared" si="9"/>
        <v>0</v>
      </c>
    </row>
    <row r="117" spans="1:33" ht="20.25" customHeight="1">
      <c r="A117" s="90"/>
      <c r="B117" s="153" t="s">
        <v>177</v>
      </c>
      <c r="C117" s="154"/>
      <c r="D117" s="154"/>
      <c r="E117" s="154"/>
      <c r="F117" s="154"/>
      <c r="G117" s="154"/>
      <c r="H117" s="154"/>
      <c r="I117" s="154"/>
      <c r="J117" s="154"/>
      <c r="K117" s="154"/>
      <c r="L117" s="154"/>
      <c r="M117" s="154"/>
      <c r="N117" s="154"/>
      <c r="O117" s="154"/>
      <c r="P117" s="154"/>
      <c r="Q117" s="154"/>
      <c r="R117" s="154"/>
      <c r="S117" s="154"/>
      <c r="T117" s="154"/>
      <c r="U117" s="154"/>
      <c r="V117" s="154"/>
      <c r="W117" s="154"/>
      <c r="X117" s="154"/>
      <c r="Y117" s="154"/>
      <c r="Z117" s="154"/>
      <c r="AA117" s="154"/>
      <c r="AB117" s="155">
        <f>AC117+AD117</f>
        <v>158477997.39</v>
      </c>
      <c r="AC117" s="155">
        <f>AC115+AC113+AC104+AC102+AC51+AC49+AC10+AC110</f>
        <v>133579145.96</v>
      </c>
      <c r="AD117" s="155">
        <f>AD115+AD113+AD104+AD102+AD51+AD49+AD10+AD110</f>
        <v>24898851.43</v>
      </c>
      <c r="AE117" s="155">
        <f>AE115+AE113+AE104+AE102+AE51+AE49+AE10+AE110</f>
        <v>24898851.43</v>
      </c>
      <c r="AF117" s="155">
        <f>AF115+AF113+AF104+AF102+AF51+AF49+AF10+AF110</f>
        <v>59236398.650000006</v>
      </c>
      <c r="AG117" s="156">
        <f t="shared" si="9"/>
        <v>37.37831094888497</v>
      </c>
    </row>
    <row r="118" spans="1:33" ht="15.75" customHeight="1">
      <c r="A118" s="202" t="s">
        <v>171</v>
      </c>
      <c r="B118" s="203"/>
      <c r="C118" s="203"/>
      <c r="D118" s="203"/>
      <c r="E118" s="203"/>
      <c r="F118" s="203"/>
      <c r="G118" s="203"/>
      <c r="H118" s="203"/>
      <c r="I118" s="203"/>
      <c r="J118" s="203"/>
      <c r="K118" s="203"/>
      <c r="L118" s="203"/>
      <c r="M118" s="203"/>
      <c r="N118" s="203"/>
      <c r="O118" s="203"/>
      <c r="P118" s="203"/>
      <c r="Q118" s="203"/>
      <c r="R118" s="203"/>
      <c r="S118" s="203"/>
      <c r="T118" s="203"/>
      <c r="U118" s="203"/>
      <c r="V118" s="203"/>
      <c r="W118" s="203"/>
      <c r="X118" s="203"/>
      <c r="Y118" s="203"/>
      <c r="Z118" s="203"/>
      <c r="AA118" s="203"/>
      <c r="AB118" s="203"/>
      <c r="AC118" s="203"/>
      <c r="AD118" s="203"/>
      <c r="AE118" s="203"/>
      <c r="AF118" s="203"/>
      <c r="AG118" s="204"/>
    </row>
    <row r="119" spans="1:33" ht="18" customHeight="1">
      <c r="A119" s="139" t="s">
        <v>41</v>
      </c>
      <c r="B119" s="140" t="s">
        <v>37</v>
      </c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141">
        <f>AB120</f>
        <v>300000</v>
      </c>
      <c r="AC119" s="142"/>
      <c r="AD119" s="142">
        <f>AD120</f>
        <v>300000</v>
      </c>
      <c r="AE119" s="142">
        <f>AE120</f>
        <v>300000</v>
      </c>
      <c r="AF119" s="143"/>
      <c r="AG119" s="144">
        <f>AF119/AB119*100</f>
        <v>0</v>
      </c>
    </row>
    <row r="120" spans="1:33" ht="33" customHeight="1">
      <c r="A120" s="90" t="s">
        <v>27</v>
      </c>
      <c r="B120" s="114" t="s">
        <v>172</v>
      </c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109">
        <v>300000</v>
      </c>
      <c r="AC120" s="57"/>
      <c r="AD120" s="57">
        <v>300000</v>
      </c>
      <c r="AE120" s="57">
        <v>300000</v>
      </c>
      <c r="AF120" s="37"/>
      <c r="AG120" s="119">
        <f>AF120/AB120*100</f>
        <v>0</v>
      </c>
    </row>
    <row r="121" spans="1:33" ht="18.75" customHeight="1">
      <c r="A121" s="87"/>
      <c r="B121" s="151" t="s">
        <v>178</v>
      </c>
      <c r="C121" s="88">
        <f aca="true" t="shared" si="20" ref="C121:AA121">C102+C51+C104</f>
        <v>9203452</v>
      </c>
      <c r="D121" s="88">
        <f t="shared" si="20"/>
        <v>9203452</v>
      </c>
      <c r="E121" s="88">
        <f t="shared" si="20"/>
        <v>9203452</v>
      </c>
      <c r="F121" s="88">
        <f t="shared" si="20"/>
        <v>9203452</v>
      </c>
      <c r="G121" s="88">
        <f t="shared" si="20"/>
        <v>9203452</v>
      </c>
      <c r="H121" s="88">
        <f t="shared" si="20"/>
        <v>9203452</v>
      </c>
      <c r="I121" s="88">
        <f t="shared" si="20"/>
        <v>9203452</v>
      </c>
      <c r="J121" s="88">
        <f t="shared" si="20"/>
        <v>9203452</v>
      </c>
      <c r="K121" s="88">
        <f t="shared" si="20"/>
        <v>9203452</v>
      </c>
      <c r="L121" s="88">
        <f t="shared" si="20"/>
        <v>9203452</v>
      </c>
      <c r="M121" s="88">
        <f t="shared" si="20"/>
        <v>9203452</v>
      </c>
      <c r="N121" s="88">
        <f t="shared" si="20"/>
        <v>9203452</v>
      </c>
      <c r="O121" s="88">
        <f t="shared" si="20"/>
        <v>9203452</v>
      </c>
      <c r="P121" s="88">
        <f t="shared" si="20"/>
        <v>9203452</v>
      </c>
      <c r="Q121" s="88">
        <f t="shared" si="20"/>
        <v>9203452</v>
      </c>
      <c r="R121" s="88">
        <f t="shared" si="20"/>
        <v>9203452</v>
      </c>
      <c r="S121" s="88">
        <f t="shared" si="20"/>
        <v>9203452</v>
      </c>
      <c r="T121" s="88">
        <f t="shared" si="20"/>
        <v>9203452</v>
      </c>
      <c r="U121" s="88">
        <f t="shared" si="20"/>
        <v>9203452</v>
      </c>
      <c r="V121" s="88">
        <f t="shared" si="20"/>
        <v>9203452</v>
      </c>
      <c r="W121" s="88">
        <f t="shared" si="20"/>
        <v>9203452</v>
      </c>
      <c r="X121" s="88">
        <f t="shared" si="20"/>
        <v>9203452</v>
      </c>
      <c r="Y121" s="88">
        <f t="shared" si="20"/>
        <v>9203452</v>
      </c>
      <c r="Z121" s="88">
        <f t="shared" si="20"/>
        <v>9203452</v>
      </c>
      <c r="AA121" s="88">
        <f t="shared" si="20"/>
        <v>9203452</v>
      </c>
      <c r="AB121" s="88">
        <f>AC121+AD121</f>
        <v>158777997.39</v>
      </c>
      <c r="AC121" s="88">
        <f>AC117+AC119</f>
        <v>133579145.96</v>
      </c>
      <c r="AD121" s="88">
        <f>AD117+AD119</f>
        <v>25198851.43</v>
      </c>
      <c r="AE121" s="88">
        <f>AE117+AE119</f>
        <v>25198851.43</v>
      </c>
      <c r="AF121" s="88">
        <f>AF117+AF119</f>
        <v>59236398.650000006</v>
      </c>
      <c r="AG121" s="118">
        <f>AF121/AB121*100</f>
        <v>37.307687226020384</v>
      </c>
    </row>
    <row r="122" spans="14:30" ht="12.75">
      <c r="N122" s="8"/>
      <c r="P122" s="13"/>
      <c r="Q122" s="13"/>
      <c r="AD122" s="6"/>
    </row>
    <row r="123" spans="14:30" ht="12.75">
      <c r="N123" s="8"/>
      <c r="P123" s="12"/>
      <c r="Q123" s="12"/>
      <c r="AD123" s="78"/>
    </row>
    <row r="124" spans="1:32" s="4" customFormat="1" ht="18">
      <c r="A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16"/>
      <c r="O124" s="5"/>
      <c r="P124" s="17"/>
      <c r="Q124" s="17"/>
      <c r="R124" s="17"/>
      <c r="S124" s="17"/>
      <c r="T124" s="17"/>
      <c r="U124" s="17"/>
      <c r="V124" s="17"/>
      <c r="W124" s="5"/>
      <c r="X124" s="5"/>
      <c r="Y124" s="5"/>
      <c r="Z124" s="5"/>
      <c r="AA124" s="5"/>
      <c r="AB124" s="5"/>
      <c r="AC124" s="5"/>
      <c r="AD124" s="79"/>
      <c r="AF124" s="4" t="s">
        <v>182</v>
      </c>
    </row>
    <row r="125" spans="14:30" ht="12.75">
      <c r="N125" s="8"/>
      <c r="P125" s="12"/>
      <c r="Q125" s="12"/>
      <c r="R125" s="12"/>
      <c r="S125" s="12"/>
      <c r="T125" s="12"/>
      <c r="U125" s="12"/>
      <c r="V125" s="12"/>
      <c r="AD125" s="78"/>
    </row>
    <row r="126" spans="2:30" ht="12.75">
      <c r="B126" s="32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1"/>
      <c r="O126" s="30"/>
      <c r="P126" s="33"/>
      <c r="Q126" s="33"/>
      <c r="R126" s="33"/>
      <c r="S126" s="33"/>
      <c r="T126" s="33"/>
      <c r="U126" s="33"/>
      <c r="V126" s="33"/>
      <c r="W126" s="30"/>
      <c r="X126" s="30"/>
      <c r="Y126" s="30"/>
      <c r="Z126" s="30"/>
      <c r="AA126" s="30"/>
      <c r="AB126" s="32"/>
      <c r="AC126" s="32"/>
      <c r="AD126" s="78"/>
    </row>
    <row r="127" spans="2:30" ht="12.75">
      <c r="B127" s="34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1"/>
      <c r="O127" s="30"/>
      <c r="P127" s="33"/>
      <c r="Q127" s="33"/>
      <c r="R127" s="33"/>
      <c r="S127" s="33"/>
      <c r="T127" s="33"/>
      <c r="U127" s="33"/>
      <c r="V127" s="33"/>
      <c r="W127" s="30"/>
      <c r="X127" s="30"/>
      <c r="Y127" s="30"/>
      <c r="Z127" s="30"/>
      <c r="AA127" s="30"/>
      <c r="AB127" s="32"/>
      <c r="AC127" s="32"/>
      <c r="AD127" s="78"/>
    </row>
    <row r="128" spans="2:30" ht="12.75">
      <c r="B128" s="34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2"/>
      <c r="AC128" s="32"/>
      <c r="AD128" s="79"/>
    </row>
    <row r="129" spans="2:30" ht="12.75">
      <c r="B129" s="34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2"/>
      <c r="AC129" s="32"/>
      <c r="AD129" s="78"/>
    </row>
    <row r="130" spans="2:30" ht="12.75">
      <c r="B130" s="34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2"/>
      <c r="AC130" s="32"/>
      <c r="AD130" s="78"/>
    </row>
    <row r="131" spans="2:30" ht="12.75">
      <c r="B131" s="34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2"/>
      <c r="AC131" s="32"/>
      <c r="AD131" s="79"/>
    </row>
    <row r="132" spans="2:30" ht="12.75">
      <c r="B132" s="32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2"/>
      <c r="AC132" s="32"/>
      <c r="AD132" s="78"/>
    </row>
    <row r="133" spans="2:30" ht="12.75">
      <c r="B133" s="32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2"/>
      <c r="AC133" s="32"/>
      <c r="AD133" s="78"/>
    </row>
    <row r="134" spans="2:30" ht="15">
      <c r="B134" s="35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2"/>
      <c r="AC134" s="32"/>
      <c r="AD134" s="78"/>
    </row>
    <row r="135" spans="2:30" ht="12.75">
      <c r="B135" s="36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2"/>
      <c r="AC135" s="32"/>
      <c r="AD135" s="79"/>
    </row>
    <row r="136" ht="12.75">
      <c r="AD136" s="33"/>
    </row>
    <row r="137" ht="12.75">
      <c r="AD137" s="79"/>
    </row>
    <row r="138" ht="12.75">
      <c r="AD138" s="33"/>
    </row>
    <row r="139" ht="12.75">
      <c r="AD139" s="33"/>
    </row>
    <row r="140" ht="12.75">
      <c r="AD140" s="80"/>
    </row>
    <row r="141" ht="12.75">
      <c r="AD141" s="80"/>
    </row>
    <row r="142" ht="12.75">
      <c r="AD142" s="33"/>
    </row>
    <row r="143" ht="12.75">
      <c r="AD143" s="33"/>
    </row>
    <row r="144" ht="12.75">
      <c r="AD144" s="33"/>
    </row>
    <row r="145" ht="12.75">
      <c r="AD145" s="33"/>
    </row>
    <row r="146" ht="12.75">
      <c r="AD146" s="33"/>
    </row>
    <row r="147" ht="15">
      <c r="AD147" s="81"/>
    </row>
    <row r="148" ht="12.75">
      <c r="AD148" s="82"/>
    </row>
    <row r="149" ht="15">
      <c r="AD149" s="81"/>
    </row>
    <row r="150" ht="12.75">
      <c r="AD150" s="33"/>
    </row>
    <row r="151" ht="12.75">
      <c r="AD151" s="33"/>
    </row>
    <row r="152" ht="12.75">
      <c r="AD152" s="33"/>
    </row>
    <row r="153" ht="15">
      <c r="AD153" s="81"/>
    </row>
    <row r="154" ht="12.75">
      <c r="AD154" s="82"/>
    </row>
    <row r="155" ht="12.75">
      <c r="AD155" s="33"/>
    </row>
    <row r="158" ht="18">
      <c r="AD158" s="4"/>
    </row>
  </sheetData>
  <sheetProtection/>
  <mergeCells count="12">
    <mergeCell ref="A9:AG9"/>
    <mergeCell ref="A118:AG118"/>
    <mergeCell ref="AF1:AG1"/>
    <mergeCell ref="A3:AG3"/>
    <mergeCell ref="A5:A6"/>
    <mergeCell ref="B5:B6"/>
    <mergeCell ref="AB5:AB6"/>
    <mergeCell ref="AC5:AC6"/>
    <mergeCell ref="AD5:AD6"/>
    <mergeCell ref="AD1:AE1"/>
    <mergeCell ref="AF5:AF6"/>
    <mergeCell ref="AG5:AG6"/>
  </mergeCells>
  <printOptions/>
  <pageMargins left="0.57" right="0.3" top="0.5" bottom="0.56" header="0.32" footer="0.31496062992125984"/>
  <pageSetup fitToHeight="13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2019-06-24T06:41:47Z</cp:lastPrinted>
  <dcterms:created xsi:type="dcterms:W3CDTF">2014-01-17T10:52:16Z</dcterms:created>
  <dcterms:modified xsi:type="dcterms:W3CDTF">2019-07-26T09:27:56Z</dcterms:modified>
  <cp:category/>
  <cp:version/>
  <cp:contentType/>
  <cp:contentStatus/>
</cp:coreProperties>
</file>